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41" windowWidth="10965" windowHeight="9795" tabRatio="880" activeTab="8"/>
  </bookViews>
  <sheets>
    <sheet name="Biểu 01" sheetId="1" r:id="rId1"/>
    <sheet name="Biểu 02" sheetId="2" r:id="rId2"/>
    <sheet name="48" sheetId="3" r:id="rId3"/>
    <sheet name="50" sheetId="4" r:id="rId4"/>
    <sheet name="51" sheetId="5" r:id="rId5"/>
    <sheet name="52" sheetId="6" r:id="rId6"/>
    <sheet name="53" sheetId="7" r:id="rId7"/>
    <sheet name="54" sheetId="8" r:id="rId8"/>
    <sheet name="58" sheetId="9" r:id="rId9"/>
    <sheet name="59" sheetId="10" r:id="rId10"/>
  </sheets>
  <externalReferences>
    <externalReference r:id="rId13"/>
    <externalReference r:id="rId14"/>
  </externalReferences>
  <definedNames>
    <definedName name="chuong_phuluc_48" localSheetId="2">'48'!$F$1</definedName>
    <definedName name="chuong_phuluc_48_name" localSheetId="2">'48'!$A$2</definedName>
    <definedName name="chuong_phuluc_51" localSheetId="4">'51'!$E$1</definedName>
    <definedName name="chuong_phuluc_51_name" localSheetId="4">'51'!$A$2</definedName>
    <definedName name="chuong_phuluc_52" localSheetId="5">'52'!#REF!</definedName>
    <definedName name="chuong_phuluc_52_name" localSheetId="5">'52'!$A$2</definedName>
    <definedName name="chuong_phuluc_54" localSheetId="7">'54'!$AF$1</definedName>
    <definedName name="chuong_phuluc_54_name" localSheetId="7">'54'!$A$2</definedName>
    <definedName name="chuong_phuluc_57" localSheetId="8">'58'!$J$1</definedName>
    <definedName name="chuong_phuluc_57_name" localSheetId="8">'58'!$A$2</definedName>
    <definedName name="chuong_phuluc_59_name" localSheetId="9">'59'!$A$2</definedName>
    <definedName name="_xlnm.Print_Titles" localSheetId="3">'50'!$5:$7</definedName>
    <definedName name="_xlnm.Print_Titles" localSheetId="4">'51'!$6:$7</definedName>
    <definedName name="_xlnm.Print_Titles" localSheetId="6">'53'!$5:$6</definedName>
    <definedName name="_xlnm.Print_Titles" localSheetId="7">'54'!$5:$8</definedName>
    <definedName name="_xlnm.Print_Titles" localSheetId="0">'Biểu 01'!$7:$8</definedName>
  </definedNames>
  <calcPr fullCalcOnLoad="1"/>
</workbook>
</file>

<file path=xl/comments8.xml><?xml version="1.0" encoding="utf-8"?>
<comments xmlns="http://schemas.openxmlformats.org/spreadsheetml/2006/main">
  <authors>
    <author>VNN.R9</author>
  </authors>
  <commentList>
    <comment ref="D27" authorId="0">
      <text>
        <r>
          <rPr>
            <b/>
            <sz val="8"/>
            <rFont val="Tahoma"/>
            <family val="2"/>
          </rPr>
          <t>VNN.R9:</t>
        </r>
        <r>
          <rPr>
            <sz val="8"/>
            <rFont val="Tahoma"/>
            <family val="2"/>
          </rPr>
          <t xml:space="preserve">
Trường CĐ SP</t>
        </r>
      </text>
    </comment>
    <comment ref="D28" authorId="0">
      <text>
        <r>
          <rPr>
            <b/>
            <sz val="8"/>
            <rFont val="Tahoma"/>
            <family val="2"/>
          </rPr>
          <t>VNN.R9:</t>
        </r>
        <r>
          <rPr>
            <sz val="8"/>
            <rFont val="Tahoma"/>
            <family val="2"/>
          </rPr>
          <t xml:space="preserve">
TT nước sạch và môi trường; TT giống thủy sản</t>
        </r>
      </text>
    </comment>
    <comment ref="D29" authorId="0">
      <text>
        <r>
          <rPr>
            <b/>
            <sz val="8"/>
            <rFont val="Tahoma"/>
            <family val="2"/>
          </rPr>
          <t>VNN.R9:</t>
        </r>
        <r>
          <rPr>
            <sz val="8"/>
            <rFont val="Tahoma"/>
            <family val="2"/>
          </rPr>
          <t xml:space="preserve">
TT bảo trợ XH</t>
        </r>
      </text>
    </comment>
  </commentList>
</comments>
</file>

<file path=xl/sharedStrings.xml><?xml version="1.0" encoding="utf-8"?>
<sst xmlns="http://schemas.openxmlformats.org/spreadsheetml/2006/main" count="880" uniqueCount="488">
  <si>
    <t>23=10/5</t>
  </si>
  <si>
    <t>Chi đầu tư</t>
  </si>
  <si>
    <t xml:space="preserve">Chi đầu tư </t>
  </si>
  <si>
    <t>Ngân sách cấp tỉnh</t>
  </si>
  <si>
    <t>Ngân sách cấp huyện</t>
  </si>
  <si>
    <t>7=4/1</t>
  </si>
  <si>
    <t>8=5/2</t>
  </si>
  <si>
    <t>9=6/3</t>
  </si>
  <si>
    <t>Ngân sách địa phương</t>
  </si>
  <si>
    <t xml:space="preserve">Ngân sách cấp tỉnh </t>
  </si>
  <si>
    <t xml:space="preserve">Ngân sách huyện </t>
  </si>
  <si>
    <t>Chi sự nghiệp từ nguồn vốn nước ngoài (ghi thu ghi chi)</t>
  </si>
  <si>
    <t>Cải tạo, xử lý ô nhiễm bãi chôn lấp rác thải Noong Bua - TPĐBP</t>
  </si>
  <si>
    <t>Kinh phí bảo vệ và phát triển rừng</t>
  </si>
  <si>
    <t>KP khắc phục hậu quả hạn hán vụ đông  xuân</t>
  </si>
  <si>
    <t>Chương trình mục tiêu đảm bảo ATGT, PCCC, PCTP và ma túy</t>
  </si>
  <si>
    <t>Từ nguồn bội thu</t>
  </si>
  <si>
    <t>Trung ương bổ sung có mục tiêu</t>
  </si>
  <si>
    <t>Tổng thu NSNN</t>
  </si>
  <si>
    <t>Thu NSĐP</t>
  </si>
  <si>
    <t>5=3/1</t>
  </si>
  <si>
    <t>6=4/2</t>
  </si>
  <si>
    <t>TỔNG THU CÂN ĐỐI NSNN</t>
  </si>
  <si>
    <t>Thu từ khu vực doanh nghiệp có vốn đầu tư nước ngoài (3)</t>
  </si>
  <si>
    <t>Thu từ khu vực kinh tế ngoài quốc doanh (4)</t>
  </si>
  <si>
    <t xml:space="preserve">Thu phí, lệ phí </t>
  </si>
  <si>
    <t>Tiền cho thuê đất, thuê mặt nước</t>
  </si>
  <si>
    <t>Thu tiền sử dụng đất</t>
  </si>
  <si>
    <t>Tiền cho thuê và tiền bán nhà ở thuộc sở hữu nhà nước</t>
  </si>
  <si>
    <t>Thu từ hoạt động xổ số kiến thiết</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</si>
  <si>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</si>
  <si>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</si>
  <si>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</si>
  <si>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</si>
  <si>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</si>
  <si>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</si>
  <si>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tiêu thụ đặc biệt thu từ hàng hóa nhập khẩu</t>
  </si>
  <si>
    <t>Dự toán năm 2017</t>
  </si>
  <si>
    <t>Thu từ kinh tế quốc doanh</t>
  </si>
  <si>
    <t>- Thuế giá trị gia tăng</t>
  </si>
  <si>
    <t>- Thuế thu nhập doanh nghiệp</t>
  </si>
  <si>
    <t>- Thuế tiêu thụ đặc biệt</t>
  </si>
  <si>
    <t>Hỗ trợ các tổ chức xã hội</t>
  </si>
  <si>
    <t>Sở Văn hóa thể thao và DL</t>
  </si>
  <si>
    <t>Sở Lao động - TB XH</t>
  </si>
  <si>
    <t xml:space="preserve">Quỹ Phát triển đất </t>
  </si>
  <si>
    <t>Tỉnh hội phụ nữ</t>
  </si>
  <si>
    <t>Hội Văn học  nghệ thuật</t>
  </si>
  <si>
    <t>Hội Chữ thập đỏ</t>
  </si>
  <si>
    <t>Hội CCB Dân chính Đảng</t>
  </si>
  <si>
    <t>Hội Đông y</t>
  </si>
  <si>
    <t>Hội Nhà báo</t>
  </si>
  <si>
    <t>Hội NN Chất độc da cam/Dioxin</t>
  </si>
  <si>
    <t>Liên minh các  HTX</t>
  </si>
  <si>
    <t>Ban đại diện hội  Người cao tuổi</t>
  </si>
  <si>
    <t>Dự toán năm  2017</t>
  </si>
  <si>
    <t>Chi nhánh ngân hàng phát triển và các đơn vị phát sinh</t>
  </si>
  <si>
    <t xml:space="preserve">Ban QLDA di dân TĐC thủy điện Sơn La </t>
  </si>
  <si>
    <t xml:space="preserve">Dự toán </t>
  </si>
  <si>
    <t>Chương trình mục tiêu Hỗ trợ phát triển hệ thống trợ giúp xã hội</t>
  </si>
  <si>
    <t>Kinh phí phân giới cắm mốc biên  giới Việt - Lào</t>
  </si>
  <si>
    <t>Kinh phí bố trí, sắp xếp lại dân di cư tự do (Đề án 79)</t>
  </si>
  <si>
    <t>Kinh phí khắc phục hậu quả hạn hán vụ đông  xuân</t>
  </si>
  <si>
    <t>Hỗ trợ hoạt động sáng tạo tác phẩm báo chí, CTVHNT</t>
  </si>
  <si>
    <t xml:space="preserve"> Đề án đào tạo, bồi dưỡng, cán bộ Hội liên hiệp phụ nữ các cấp </t>
  </si>
  <si>
    <t>Sự nghiệp theo Nghị quyết 30a (cũ)</t>
  </si>
  <si>
    <t>- Phí và lệ phí trung ương</t>
  </si>
  <si>
    <t>- Phí và lệ phí tỉnh</t>
  </si>
  <si>
    <t>- Phí và lệ phí huyện</t>
  </si>
  <si>
    <t>- Phí và lệ phí xã, phường</t>
  </si>
  <si>
    <t>- Thu từ thu nhập sau thuế</t>
  </si>
  <si>
    <t>THU TỪ NGÂN SÁCH CẤP DƯỚI NỘP LÊN</t>
  </si>
  <si>
    <t>Văn phòng UBND tỉnh</t>
  </si>
  <si>
    <t>Văn phòng Đoàn Đại biểu quốc hội</t>
  </si>
  <si>
    <t xml:space="preserve">Ngân hàng chính sách xã hội </t>
  </si>
  <si>
    <t xml:space="preserve">Chi hoàn trả các khoản thu năm trước (hoàn thuế thu nhập cá nhân) </t>
  </si>
  <si>
    <t>HCSN</t>
  </si>
  <si>
    <t>QLNS</t>
  </si>
  <si>
    <t>Chi đền bù GPMB từ nguồn đối trừ số thu tiền cho thuê đất</t>
  </si>
  <si>
    <t>Quỹ dự  trữ tài chính</t>
  </si>
  <si>
    <t>Công ty TNHH quản lý Thủy Nông</t>
  </si>
  <si>
    <t>Công ty cổ phần xây dựng Thủy lợi</t>
  </si>
  <si>
    <t>Kho Bạc nhà nước</t>
  </si>
  <si>
    <t>Chi trả nợ lãi và phí vay đầu tư cơ sở hạ tầng</t>
  </si>
  <si>
    <t>Khối huyện</t>
  </si>
  <si>
    <t xml:space="preserve">Ban QLDA các công trình Nông nghiêp và Phát triển NT </t>
  </si>
  <si>
    <t>Công CP cấp nước Điện Biên</t>
  </si>
  <si>
    <t>Ban Quản lý các dự án dân dụng và CN</t>
  </si>
  <si>
    <t>Ban QLDA các công trình giao thông</t>
  </si>
  <si>
    <t>Ban giảm nghèo tỉnh</t>
  </si>
  <si>
    <t>Ban QLDA bạn hữu trẻ em</t>
  </si>
  <si>
    <t>Ban QLDA phát triển tiẻu vùng mê công mở rộng</t>
  </si>
  <si>
    <t>Ban QL rừng TG</t>
  </si>
  <si>
    <t>Ban chỉ đạo cắm mốc</t>
  </si>
  <si>
    <t>Ban Nội chính</t>
  </si>
  <si>
    <t>BQL Rừng phòng hộ huyện ĐB</t>
  </si>
  <si>
    <t xml:space="preserve">TT Quy hoạch đô thị </t>
  </si>
  <si>
    <t>Ban QL rừng Mường Chà</t>
  </si>
  <si>
    <t>Chi cục Kiểm lâm tỉnh</t>
  </si>
  <si>
    <t>Chi đầu tư phát triển (không kể chương trình MTQG)</t>
  </si>
  <si>
    <t>Chi thường xuyên (không kể chương trình MTQG)</t>
  </si>
  <si>
    <t>Đầu tư</t>
  </si>
  <si>
    <t>TP.Điện Biên phủ</t>
  </si>
  <si>
    <t>Chương trình mục tiêu tái cơ cấu kinh tế NN, phòng chống giảm nhẹ thiên tai, ổn định đời sống dân cư (Sắp xếp lại dân cư những nơi cần thiết theo Quyết định 193 và Quyết định 1776 )</t>
  </si>
  <si>
    <t>Chính sách trợ giúp pháp lý theo Quyết định 32/QĐ-TTg</t>
  </si>
  <si>
    <t>Chương trình mục tiêu phát triển lâm nghiệp bền vững</t>
  </si>
  <si>
    <t>Chi xây dựng cơ sở hạ tầng bằng nguồn vốn vay</t>
  </si>
  <si>
    <t xml:space="preserve"> Chương trình mục tiêu quốc gia văn hóa (cũ)</t>
  </si>
  <si>
    <t xml:space="preserve"> Đầu tư các dự án từ nguồn vốn trong nước</t>
  </si>
  <si>
    <t>Dự án di dân tái định cư thủy điện Sơn la</t>
  </si>
  <si>
    <t>Dự án đường giao thông Huổi Mí</t>
  </si>
  <si>
    <t>Chương trình mục tiêu Giáo dục nghề nghiệp - Việc làm và an toàn lao động</t>
  </si>
  <si>
    <t>Chương trình mục tiêu đảm bảo an toàn giao thông, phòng cháy chữa cháy, phòng chống tội phạm và ma túy</t>
  </si>
  <si>
    <t>Kinh phí hỗ trợ cho phụ nữ thuộc hộ nghèo là người DTTS sinh con đúng chính sách….</t>
  </si>
  <si>
    <t>So sánh</t>
  </si>
  <si>
    <t>Tuyệt đối</t>
  </si>
  <si>
    <t>TỔNG NGUỒN THU NSĐP</t>
  </si>
  <si>
    <t>Thu bổ sung cân đối ngân sách</t>
  </si>
  <si>
    <t>Thu từ quỹ dự trữ tài chính</t>
  </si>
  <si>
    <t>Thu chuyển nguồn từ năm trước chuyển sang</t>
  </si>
  <si>
    <t>Chi bổ sung quỹ dự trữ tài chính</t>
  </si>
  <si>
    <t>Dự phòng ngân sách</t>
  </si>
  <si>
    <t>Chi các chương trình mục tiêu</t>
  </si>
  <si>
    <t>Chi các chương trình mục tiêu quốc gia</t>
  </si>
  <si>
    <t>Chi các chương trình mục tiêu, nhiệm vụ</t>
  </si>
  <si>
    <t>Chi chuyển nguồn sang năm sau</t>
  </si>
  <si>
    <t>3=2/1</t>
  </si>
  <si>
    <t>Thuế thu nhập cá nhân</t>
  </si>
  <si>
    <t>Thuế bảo vệ môi trường</t>
  </si>
  <si>
    <t>Thu kết dư</t>
  </si>
  <si>
    <t>Chi bổ sung cho ngân sách cấp dưới</t>
  </si>
  <si>
    <t>3=2-1</t>
  </si>
  <si>
    <t>4=2/1</t>
  </si>
  <si>
    <t>Thu NSĐP được hưởng theo phân cấp</t>
  </si>
  <si>
    <t>Thu NSĐP hưởng 100%</t>
  </si>
  <si>
    <t>Thu NSĐP hưởng từ các khoản thu phân chia</t>
  </si>
  <si>
    <t>Chi đầu tư phát triển</t>
  </si>
  <si>
    <t>TỔNG MỨC VAY CỦA NSĐP</t>
  </si>
  <si>
    <t>So sánh (%)</t>
  </si>
  <si>
    <t>Thuế sử dụng đất nông nghiệp</t>
  </si>
  <si>
    <t>Thuế sử dụng đất phi nông nghiệp</t>
  </si>
  <si>
    <t>Thu tiền cấp quyền khai thác khoáng sản</t>
  </si>
  <si>
    <t>Thu khác ngân sách</t>
  </si>
  <si>
    <t>Thuế nhập khẩu</t>
  </si>
  <si>
    <t>Thu khác</t>
  </si>
  <si>
    <t>Thu viện trợ</t>
  </si>
  <si>
    <t>Tương đối (%)</t>
  </si>
  <si>
    <t>Chi giáo dục - đào tạo và dạy nghề</t>
  </si>
  <si>
    <t>Chi khoa học và công nghệ</t>
  </si>
  <si>
    <t>Chi đầu tư phát triển khác</t>
  </si>
  <si>
    <t>VI</t>
  </si>
  <si>
    <t>CHI CÁC CHƯƠNG TRÌNH MỤC TIÊU</t>
  </si>
  <si>
    <t>Lệ phí trước bạ</t>
  </si>
  <si>
    <t>Chi nộp trả ngân sách cấp trên</t>
  </si>
  <si>
    <t xml:space="preserve">Chương trình giảm nghèo nhanh và bền vững   </t>
  </si>
  <si>
    <t>1.1</t>
  </si>
  <si>
    <t xml:space="preserve"> Dự án 1: Chương trình 30a</t>
  </si>
  <si>
    <t>1.2</t>
  </si>
  <si>
    <t>Dự án 2: Chương trình 135</t>
  </si>
  <si>
    <t>1.3</t>
  </si>
  <si>
    <t>Dự án 3: Hỗ trợ phát triển sản xuất, đa dạng hóa sinh kế và nhân rộng mô hình giảm nghèo trên địa bàn các xã ngoài Chương trình 30a và Chương trình 135</t>
  </si>
  <si>
    <t>1.4</t>
  </si>
  <si>
    <t xml:space="preserve"> Dự án 4: Truyền thông và giảm nghèo về thông tin</t>
  </si>
  <si>
    <t>1.5</t>
  </si>
  <si>
    <t xml:space="preserve"> Dự án 5: Nâng cao năng lực và giám sát, đánh giá thực hiện Chương trình</t>
  </si>
  <si>
    <t xml:space="preserve"> Chương trình Việc làm và Dạy nghề</t>
  </si>
  <si>
    <t>* Vốn đầu tư</t>
  </si>
  <si>
    <t>* Vốn sự nghiệp</t>
  </si>
  <si>
    <t>Chương trình Xây dựng nông thôn mới</t>
  </si>
  <si>
    <t>* Chi đầu tư</t>
  </si>
  <si>
    <t xml:space="preserve"> - Vốn chương trình</t>
  </si>
  <si>
    <t xml:space="preserve"> - Vốn TPCP</t>
  </si>
  <si>
    <t>* Chi sự nghiệp</t>
  </si>
  <si>
    <t>Chương trình phòng, chống ma túy (cũ)</t>
  </si>
  <si>
    <t xml:space="preserve"> Chương trình MTQG văn hóa (cũ)</t>
  </si>
  <si>
    <t xml:space="preserve"> Đầu tư các dự án từ nguồn vốn nước ngoài </t>
  </si>
  <si>
    <t xml:space="preserve"> Đầu tư các DA từ nguồn vốn trong nước</t>
  </si>
  <si>
    <t>Vốn trái phiếu chính phủ</t>
  </si>
  <si>
    <t xml:space="preserve"> DA di dân tái định cư thủy điện Sơn la</t>
  </si>
  <si>
    <t>DA đường giao thông Huổi Mí</t>
  </si>
  <si>
    <t>Chương trình Kiên cố hóa trường lớp</t>
  </si>
  <si>
    <t>Thủy lợi</t>
  </si>
  <si>
    <t>Vốn sự nghiệp</t>
  </si>
  <si>
    <t>Chương trình mục tiêu về Y tế và dân số</t>
  </si>
  <si>
    <t>Chương trình mục tiêu phát triển văn hóa</t>
  </si>
  <si>
    <t>Chương trình mục tiêu Hỗ trợ phát triển hệ thống trợ giúp XH</t>
  </si>
  <si>
    <t>Chương trình  quốc gia bảo vệ trẻ em (cũ)</t>
  </si>
  <si>
    <t>KP hỗ trợ cho phụ nữ thuộc hộ nghèo là người DTTS sinh con đúng CS..</t>
  </si>
  <si>
    <t>Đo đạc, lập CSDL HSĐC và CGCN QSDĐ trong gianh giới QH đất</t>
  </si>
  <si>
    <t>DA hoàn thiện, hiện đại hóa hồ sơ, BĐ ĐGHC và XDCSDL ĐGHC</t>
  </si>
  <si>
    <t>Chính sách trợ giúp pháp lý theo QĐ 32/QĐ-TTg</t>
  </si>
  <si>
    <t>KP phân giới cắm mốc biên  giới Việt - Lào</t>
  </si>
  <si>
    <t>Chương trình mục tiêu tái cơ cấu kinh tế NN, phòng chống giảm nhẹ thiên tai, ổn định đời sống dân cư (Sắp xếp lại dân cư những nơi cần thiết theo QĐ 193 và QĐ 1776 )</t>
  </si>
  <si>
    <t>Đề án dân tộc cống</t>
  </si>
  <si>
    <t>Các cơ quan, đơn vị của tỉnh</t>
  </si>
  <si>
    <t xml:space="preserve">Chính sách đặc thù hỗ trợ phát triển kinh tế - xã hội vùng dân tộc thiểu số và miền núi giai đoạn 2017-2020 (Quyết định 33, Quyết định 1342 )  </t>
  </si>
  <si>
    <t xml:space="preserve"> Đề án ĐT, BD CB Hội liên hiệp phụ nữ các cấp </t>
  </si>
  <si>
    <t>Chi XDCB tập trung</t>
  </si>
  <si>
    <t>Chi từ nguồn thu sử dụng đất</t>
  </si>
  <si>
    <t>Chu XDCSHT bằng nguồn vốn vay</t>
  </si>
  <si>
    <t>Chi đầu tư và hỗ trợ vốn cho các doanh nghiệp</t>
  </si>
  <si>
    <t>Chi đầu tư từ  nguồn xổ số kiến thiết</t>
  </si>
  <si>
    <t>Chi đầu tư từ nguồn vốn khác</t>
  </si>
  <si>
    <t>Chương trình MT phát triển lâm nghiệp bền vững</t>
  </si>
  <si>
    <t>Nội dung chi</t>
  </si>
  <si>
    <t>So sánh QT/DT(%)</t>
  </si>
  <si>
    <t>CHI CÂN ĐỐI NGÂN SÁCH</t>
  </si>
  <si>
    <t>Chi đầu tư phát triển cho chương trình, dự án theo lĩnh vực</t>
  </si>
  <si>
    <t>Chi Giáo dục - đào tạo và dạy nghề</t>
  </si>
  <si>
    <t>Chi Khoa học và công nghệ</t>
  </si>
  <si>
    <t>Chi Y tế, dân số và gia đình</t>
  </si>
  <si>
    <t>1.6</t>
  </si>
  <si>
    <t>Chi Văn hóa thông tin</t>
  </si>
  <si>
    <t>1.7</t>
  </si>
  <si>
    <t>Chi Phát thanh, truyền hình, thông tấn</t>
  </si>
  <si>
    <t>1.8</t>
  </si>
  <si>
    <t>Chi Thể dục thể thao</t>
  </si>
  <si>
    <t>1.9</t>
  </si>
  <si>
    <t>Chi Bảo vệ môi trường</t>
  </si>
  <si>
    <t>1.10</t>
  </si>
  <si>
    <t>1.11</t>
  </si>
  <si>
    <t>Chi hoạt động của các cơ quan quản lý nhà nước, đảng, đoàn thể</t>
  </si>
  <si>
    <t>1.12</t>
  </si>
  <si>
    <t>Chi Bảo đảm xã hội</t>
  </si>
  <si>
    <t>1.13</t>
  </si>
  <si>
    <t>Chi ngành, lĩnh vực khác</t>
  </si>
  <si>
    <t>Chi đầu tư và hỗ trợ vốn cho các doanh nghiệp hoạt động công</t>
  </si>
  <si>
    <t>Chi trả nợ lãi vay theo quy định</t>
  </si>
  <si>
    <t>2.1</t>
  </si>
  <si>
    <t>2.2</t>
  </si>
  <si>
    <t>2.3</t>
  </si>
  <si>
    <t>2.4</t>
  </si>
  <si>
    <t>2.5</t>
  </si>
  <si>
    <t>2.6</t>
  </si>
  <si>
    <t>2.7</t>
  </si>
  <si>
    <t>2.8</t>
  </si>
  <si>
    <t>2.9</t>
  </si>
  <si>
    <t>2.10</t>
  </si>
  <si>
    <t>2.11</t>
  </si>
  <si>
    <t>2.12</t>
  </si>
  <si>
    <t>2.13</t>
  </si>
  <si>
    <t>Chi khác</t>
  </si>
  <si>
    <t>2.14</t>
  </si>
  <si>
    <t>Chi tạo nguồn CCTL</t>
  </si>
  <si>
    <t>Chi chuyển nguồn</t>
  </si>
  <si>
    <t>CHI BỔ SUNG CHO NGÂN SÁCH CẤP DƯỚI</t>
  </si>
  <si>
    <t>Bổ sung cân đối</t>
  </si>
  <si>
    <t>Trong đó: - Bằng nguồn vốn trong nước</t>
  </si>
  <si>
    <t xml:space="preserve">                - Bằng nguồn vốn ngoài nước</t>
  </si>
  <si>
    <t>CHI NỘP NGÂN SÁCH CẤP TRÊN</t>
  </si>
  <si>
    <t>TỔNG SỐ (A+B+C)</t>
  </si>
  <si>
    <t>Sở Ngoại vụ</t>
  </si>
  <si>
    <t>Sở Tư pháp</t>
  </si>
  <si>
    <t>Sở Công thương</t>
  </si>
  <si>
    <t>Sở Tài chính</t>
  </si>
  <si>
    <t>Sở Xây dựng</t>
  </si>
  <si>
    <t>Sở Y tế</t>
  </si>
  <si>
    <t>Sở Thông tin và TT</t>
  </si>
  <si>
    <t>Sở Nội vụ</t>
  </si>
  <si>
    <t>Thanh tra tỉnh</t>
  </si>
  <si>
    <t>Tỉnh ủy</t>
  </si>
  <si>
    <t>Hội Nông dân</t>
  </si>
  <si>
    <t>Hội cựu chiến binh</t>
  </si>
  <si>
    <t>Hội Luật gia</t>
  </si>
  <si>
    <t>Hội Khuyến học</t>
  </si>
  <si>
    <t>Quỹ xúc tiến thương mại</t>
  </si>
  <si>
    <t>Trường CĐ nghề</t>
  </si>
  <si>
    <t>Đoàn 379</t>
  </si>
  <si>
    <t>Công an tỉnh</t>
  </si>
  <si>
    <t>Chi mục tiêu, nhiệm vụ khác</t>
  </si>
  <si>
    <t>14=15+16</t>
  </si>
  <si>
    <t>19=6/1</t>
  </si>
  <si>
    <t>20=7/2</t>
  </si>
  <si>
    <t>21=8/3</t>
  </si>
  <si>
    <t>22=9/4</t>
  </si>
  <si>
    <t xml:space="preserve">Chi khoa học và công nghệ </t>
  </si>
  <si>
    <t>Biểu mẫu số 58</t>
  </si>
  <si>
    <t>TP. Điện Biên phủ</t>
  </si>
  <si>
    <t>Sở Giao thông vận tải</t>
  </si>
  <si>
    <t>BCH Biên phòng tỉnh</t>
  </si>
  <si>
    <t>Vốn  sự nghiệp để thực hiện các CTMT, nhiệm vụ</t>
  </si>
  <si>
    <t>Vốn  sự nhiệp để thực hiện các CTMT, nhiệm vụ</t>
  </si>
  <si>
    <t>Tổng</t>
  </si>
  <si>
    <t xml:space="preserve">Tên đơn vị </t>
  </si>
  <si>
    <t>Chi chương trình MTQG</t>
  </si>
  <si>
    <t>Chi sự nghiệp</t>
  </si>
  <si>
    <t>BỘI THU NSĐP</t>
  </si>
  <si>
    <t>Dự toán 2017</t>
  </si>
  <si>
    <t>5=4/3</t>
  </si>
  <si>
    <t>Đơn vị tính: Triệu đồng</t>
  </si>
  <si>
    <t xml:space="preserve">Chương trình giảm nghèo  bền vững   </t>
  </si>
  <si>
    <t>Thuế xuất khẩu</t>
  </si>
  <si>
    <t>CHI CHUYỂN NGUỒN SANG NĂM SAU</t>
  </si>
  <si>
    <t>Bao gồm</t>
  </si>
  <si>
    <t>II.1</t>
  </si>
  <si>
    <t>II.1.1</t>
  </si>
  <si>
    <t>II.1.2</t>
  </si>
  <si>
    <t>Vốn đầu tư</t>
  </si>
  <si>
    <t>Chi các chương trình mục tiêu, nhiệm vụ khác</t>
  </si>
  <si>
    <t>II.1.3</t>
  </si>
  <si>
    <t>II.2</t>
  </si>
  <si>
    <t xml:space="preserve">Chương trình mục tiêu Giáo dục nghề nghiệp - Việc làm và ATLĐ </t>
  </si>
  <si>
    <t>Sự nghiệp theo NQ 30a (cũ)</t>
  </si>
  <si>
    <t>Chi quốc phòng</t>
  </si>
  <si>
    <t>Chi an ninh và trật tự an toàn xã hội</t>
  </si>
  <si>
    <t>Chi các hoạt động kinh tế</t>
  </si>
  <si>
    <t>Chi chuyển nguồn sang ngân sách năm sau</t>
  </si>
  <si>
    <t>Dự toán</t>
  </si>
  <si>
    <t>Chi khoa học và công nghệ (3)</t>
  </si>
  <si>
    <t>VII</t>
  </si>
  <si>
    <t>Biểu mẫu số 48</t>
  </si>
  <si>
    <t>Biểu mẫu số 50</t>
  </si>
  <si>
    <t>Biểu mẫu số 51</t>
  </si>
  <si>
    <t>Biểu mẫu số 52</t>
  </si>
  <si>
    <t>Biểu mẫu số 53</t>
  </si>
  <si>
    <t>Biểu mẫu số 54</t>
  </si>
  <si>
    <t>Vốn ngoài nước</t>
  </si>
  <si>
    <t>Huyện Tuần giáo</t>
  </si>
  <si>
    <t>Huyện Mường Ảng</t>
  </si>
  <si>
    <t>Huyện Điện Biên</t>
  </si>
  <si>
    <t>Huyện Mường Chà</t>
  </si>
  <si>
    <t>Huyện Tủa Chùa</t>
  </si>
  <si>
    <t>Huyện Mường Nhé</t>
  </si>
  <si>
    <t>Huyện Điện Biên Đông</t>
  </si>
  <si>
    <t>TP Điện Biên phủ</t>
  </si>
  <si>
    <t>Thị xã Mường Lay</t>
  </si>
  <si>
    <t>Huyện Nậm Pồ</t>
  </si>
  <si>
    <t xml:space="preserve"> - Bội thu</t>
  </si>
  <si>
    <t>Thu từ ngân sách cấp dưới nộp lên</t>
  </si>
  <si>
    <t>KP bố trí, sắp xếp lại dân di cư tự do (Đề án 79)</t>
  </si>
  <si>
    <t>HT hoạt động sáng tạo tác phẩm báo chí, CTVHNT</t>
  </si>
  <si>
    <t>Quyết toán</t>
  </si>
  <si>
    <t xml:space="preserve">Thu bổ sung từ ngân sách cấp trên </t>
  </si>
  <si>
    <t xml:space="preserve">Tổng chi cân đối NSĐP </t>
  </si>
  <si>
    <t>CHI TRẢ NỢ GỐC CỦA NSĐP</t>
  </si>
  <si>
    <t>TỔNG MỨC DƯ NỢ VAY CUỐI NĂM CỦA NSĐP</t>
  </si>
  <si>
    <t>Bổ sung cân đối ngân sách</t>
  </si>
  <si>
    <t>Bổ sung có mục tiêu</t>
  </si>
  <si>
    <t>TỔNG CHI NGÂN SÁCH ĐỊA PHƯƠNG</t>
  </si>
  <si>
    <t>CHI CÂN ĐỐI NGÂN SÁCH ĐỊA PHƯƠNG</t>
  </si>
  <si>
    <t>Chi CTMTQG</t>
  </si>
  <si>
    <t>Chi giáo dục đào tạo dạy nghề</t>
  </si>
  <si>
    <t>Biểu mẫu số 59</t>
  </si>
  <si>
    <t>So sách (%)</t>
  </si>
  <si>
    <t>Gồm</t>
  </si>
  <si>
    <t>Vốn đầu tư để thực hiện các CTMT, nhiệm vụ</t>
  </si>
  <si>
    <t>Vốn sự nghiệp thực hiện các chế độ, chính sách</t>
  </si>
  <si>
    <t>Vốn thực hiện các CTMT quốc gia</t>
  </si>
  <si>
    <t>3=4+5</t>
  </si>
  <si>
    <t>11=12+13</t>
  </si>
  <si>
    <t>17=9/1</t>
  </si>
  <si>
    <t>18=10/2</t>
  </si>
  <si>
    <t>19=11/3</t>
  </si>
  <si>
    <t>20=12/4</t>
  </si>
  <si>
    <t>21=13/5</t>
  </si>
  <si>
    <t>22=14/6</t>
  </si>
  <si>
    <t>23=15/7</t>
  </si>
  <si>
    <t>24=16/8</t>
  </si>
  <si>
    <t>STT</t>
  </si>
  <si>
    <t>Nội dung</t>
  </si>
  <si>
    <t>A</t>
  </si>
  <si>
    <t>B</t>
  </si>
  <si>
    <t>-</t>
  </si>
  <si>
    <t>Đơn vị: Triệu đồng</t>
  </si>
  <si>
    <t>Thu nội địa</t>
  </si>
  <si>
    <t>II</t>
  </si>
  <si>
    <t>III</t>
  </si>
  <si>
    <t>IV</t>
  </si>
  <si>
    <t>C</t>
  </si>
  <si>
    <t>I</t>
  </si>
  <si>
    <t>Thu bổ sung có mục tiêu</t>
  </si>
  <si>
    <t>D</t>
  </si>
  <si>
    <t>TỔNG CHI NSĐP</t>
  </si>
  <si>
    <t>Chi thường xuyên</t>
  </si>
  <si>
    <t>Chi trả nợ lãi các khoản do chính quyền địa phương vay</t>
  </si>
  <si>
    <t>Chi tạo nguồn, điều chỉnh tiền lương</t>
  </si>
  <si>
    <t>E</t>
  </si>
  <si>
    <t>G</t>
  </si>
  <si>
    <t>Từ nguồn vay để trả nợ gốc</t>
  </si>
  <si>
    <t>Vay để bù đắp bội chi</t>
  </si>
  <si>
    <t>Vay để trả nợ gốc</t>
  </si>
  <si>
    <t>V</t>
  </si>
  <si>
    <t>Tổng số</t>
  </si>
  <si>
    <t>TỔNG SỐ</t>
  </si>
  <si>
    <t>Trong đó:</t>
  </si>
  <si>
    <t>Vốn trong nước</t>
  </si>
  <si>
    <t>Tên đơn vị</t>
  </si>
  <si>
    <t>Trong đó</t>
  </si>
  <si>
    <t>nộp trả</t>
  </si>
  <si>
    <t>CN</t>
  </si>
  <si>
    <r>
      <t xml:space="preserve">Ghi chú: </t>
    </r>
    <r>
      <rPr>
        <i/>
        <sz val="12"/>
        <color indexed="8"/>
        <rFont val="Times New Roman"/>
        <family val="1"/>
      </rPr>
      <t>(1) Số quyết toán không bao gồm nộp trả ngân sách cấp trên và số chuyển nguồn tà năm 2017 sang năm 2018.</t>
    </r>
  </si>
  <si>
    <t>Ban dân tộc</t>
  </si>
  <si>
    <t>UBMT tổ quốc</t>
  </si>
  <si>
    <t>Sở Giáo dục và Đào tạo</t>
  </si>
  <si>
    <t>Sở Nông nghiệp và PTNT</t>
  </si>
  <si>
    <t xml:space="preserve">Nội dung </t>
  </si>
  <si>
    <t>Văn phòng HĐND tỉnh</t>
  </si>
  <si>
    <t>Trường CĐ KTKT</t>
  </si>
  <si>
    <t>Đài Phát thanh và TH tỉnh</t>
  </si>
  <si>
    <t>VP chuyên trách ban an toàn giao thông</t>
  </si>
  <si>
    <t>Bộ CHQS tỉnh</t>
  </si>
  <si>
    <t>Hội cựu TNXP</t>
  </si>
  <si>
    <t>Trường Chính trị tỉnh</t>
  </si>
  <si>
    <t>Hội bảo trợ NTT, NM và TMC</t>
  </si>
  <si>
    <t>Tỉnh Đoàn thanh niên</t>
  </si>
  <si>
    <t>Sở Kế hoạch và Đầu tư</t>
  </si>
  <si>
    <t>Cục Thi hành án</t>
  </si>
  <si>
    <t>Cục thống kê</t>
  </si>
  <si>
    <t>Tòa án nhân dân tỉnh</t>
  </si>
  <si>
    <t>Viện kiểm soát nhân dân</t>
  </si>
  <si>
    <t>Liên hiệp các hội khoa học và KT</t>
  </si>
  <si>
    <t>Quỹ Bảo vệ môi trường</t>
  </si>
  <si>
    <t>Sở Khoa học và công nghệ</t>
  </si>
  <si>
    <t>Sở Tài nguyên và Môi trường</t>
  </si>
  <si>
    <t>Bảo hiểm Xã hội tỉnh</t>
  </si>
  <si>
    <t>Thuế bảo vệ môi trường thu từ hàng hóa nhập khẩu</t>
  </si>
  <si>
    <t>Thuế giá trị gia tăng thu từ hàng hóa nhập khẩu</t>
  </si>
  <si>
    <t>THU TỪ QUỸ DỰ TRỮ TÀI CHÍNH</t>
  </si>
  <si>
    <t>THU KẾT DƯ NĂM TRƯỚC</t>
  </si>
  <si>
    <t>THU CHUYỂN NGUỒN TỪ NĂM TRƯỚC CHUYỂN SANG</t>
  </si>
  <si>
    <t>TỔNG NGUỒN THU NSNN (A+B+C+D+E)</t>
  </si>
  <si>
    <t>- Thuế BVMT thu từ hàng hóa sản xuất, kinh doanh trong nước</t>
  </si>
  <si>
    <t>- Thuế BVMT thu từ hàng hóa nhập khẩu</t>
  </si>
  <si>
    <t>Biểu số 1</t>
  </si>
  <si>
    <t>BỂU TỔNG HỢP THUYẾT MINH QUYẾT TOÁN THU NĂM 2017 VÀ QUYẾT TOÁN BỔ SUNG</t>
  </si>
  <si>
    <t>Quyết toán theo Nghị quyết 104/NQ-HĐND</t>
  </si>
  <si>
    <t>Quyết toán bổ sung</t>
  </si>
  <si>
    <t>Tổng số quyết toán sau khi quyết toán bổ sung</t>
  </si>
  <si>
    <t>Ghi chú</t>
  </si>
  <si>
    <t>3=1+2</t>
  </si>
  <si>
    <t>THU NGÂN SÁCH NHÀ NƯỚC</t>
  </si>
  <si>
    <t>- Thuế tài nguyên</t>
  </si>
  <si>
    <t xml:space="preserve"> - Thuế môn bài</t>
  </si>
  <si>
    <t xml:space="preserve"> - Thu hồi vốn và thu khác</t>
  </si>
  <si>
    <t>Thu từ khu vực doanh nghiệp có vốn đầu tư nước ngoài</t>
  </si>
  <si>
    <t>Thu từ khu vực kinh tế ngoài quốc doanh</t>
  </si>
  <si>
    <t xml:space="preserve"> </t>
  </si>
  <si>
    <t xml:space="preserve"> - Các khoản thu khác ngoài quốc doanh</t>
  </si>
  <si>
    <t>Trong đó: - Thu từ hàng hóa nhập khẩu</t>
  </si>
  <si>
    <t xml:space="preserve">                 - Thu từ hàng hóa sản xuất trong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</si>
  <si>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</si>
  <si>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</si>
  <si>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</si>
  <si>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</si>
  <si>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</si>
  <si>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</si>
  <si>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</si>
  <si>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Thu tiền thuê đất, mặt nước</t>
  </si>
  <si>
    <t>Thu tiền cho thuê và bán nhà ở thuộc sở hữu nhà nước</t>
  </si>
  <si>
    <t>Trong đó: - Thu khác ngân sách trung ương</t>
  </si>
  <si>
    <t>Trong đó: - Giấy phép do Trung ương cấp</t>
  </si>
  <si>
    <t>- Giấy phép do Ủy ban nhân dân cấp tỉnh cấp</t>
  </si>
  <si>
    <t>Thu từ quỹ đất công ích và thu hoa lợi công sản khác</t>
  </si>
  <si>
    <t>Thu từ hoạt động xổ số kiến thiết (kể cả xổ số điện toán)</t>
  </si>
  <si>
    <t>Thu Hải quan</t>
  </si>
  <si>
    <t>Thuế tiêu thụ đặc biệt hàng nhập khẩu</t>
  </si>
  <si>
    <t>Thuế giá trị gia tăng hàng nhập khẩu</t>
  </si>
  <si>
    <t>Thu Viện trợ</t>
  </si>
  <si>
    <t>Các khoản huy động, đóng góp</t>
  </si>
  <si>
    <t>Các khoản huy động đóng góp xây dựng cơ sở hạ tầng</t>
  </si>
  <si>
    <t>Các khoản huy động đóng góp khác</t>
  </si>
  <si>
    <t>THU NGÂN SÁCH ĐỊA PHƯƠNG</t>
  </si>
  <si>
    <t>Thu NSNN trên địa bàn địa phương hưởng</t>
  </si>
  <si>
    <t xml:space="preserve"> Các khoản thu NSĐP hưởng 100%</t>
  </si>
  <si>
    <t>Các khoản thu phân chia theo tỷ lệ %</t>
  </si>
  <si>
    <t>Thu bổ sung từ ngân sách cấp trên</t>
  </si>
  <si>
    <t>1.</t>
  </si>
  <si>
    <t xml:space="preserve">Bổ sung cân đối </t>
  </si>
  <si>
    <t>2.</t>
  </si>
  <si>
    <t xml:space="preserve">Bổ sung có mục tiêu bằng nguồn vốn trong nước </t>
  </si>
  <si>
    <t>Bổ sung có mục tiêu bằng nguồn vốn ngoài nước</t>
  </si>
  <si>
    <t>Thu chuyển nguồn năm trước sang</t>
  </si>
  <si>
    <t>Thu kết dư ngân sách</t>
  </si>
  <si>
    <t>Thu vay để trả nợ gốc</t>
  </si>
  <si>
    <t>Biểu số 2</t>
  </si>
  <si>
    <t>BIỂU TỔNG HỢP THUYẾT MINH QUYẾT TOÁN CHI NSĐP NĂM 2017 SAU KHI QUYẾT TOÁN BỔ SUNG</t>
  </si>
  <si>
    <t>Stt</t>
  </si>
  <si>
    <t>Chi nộp ngân sách cấp trên</t>
  </si>
  <si>
    <t>TỔNG HỢP QUYẾT TOÁN CÂN ĐỐI NGÂN SÁCH ĐỊA PHƯƠNG NĂM 2017 
SAU KHI QUYẾT TOÁN BỔ SUNG</t>
  </si>
  <si>
    <t>TỔNG HỢP QUYẾT TOÁN NGUỒN THU NGÂN SÁCH NHÀ NƯỚC TRÊN ĐỊA BÀN THEO LĨNH VỰC NĂM 2017 
SAU KHI QUYẾT TOÁN BỔ SUNG</t>
  </si>
  <si>
    <t>TỔNG HỢP QUYẾT TOÁN CHI NGÂN SÁCH ĐỊA PHƯƠNG THEO LĨNH VỰC NĂM 2017 
SAU KHI QUYẾT TOÁN BỔ SUNG</t>
  </si>
  <si>
    <t>TỔNG HỢP QUYẾT TOÁN CHI NGÂN SÁCH CẤP TỈNH  THEO LĨNH VỰC NĂM 2017
 SAU KHI QUYẾT TOÁN BỔ SUNG</t>
  </si>
  <si>
    <t>TỔNG HỢP QUYẾT TOÁN CHI NGÂN SÁCH ĐỊA PHƯƠNG, CHI NGÂN SÁCH CẤP TỈNH  VÀ CHI NGÂN SÁCH HUYỆN THEO CƠ CẤU CHI NĂM 2017 
SAU KHI QUYẾT TOÁN BỔ SUNG</t>
  </si>
  <si>
    <t>TỔNG HỢP QUYẾT TOÁN CHI NGÂN SÁCH CẤP TỈNH CHO TỪNG CƠ QUAN, TỔ CHỨC THEO LĨNH VỰC NĂM 2017 SAU KHI QUYẾT TOÁN BỔ SUNG</t>
  </si>
  <si>
    <t>TỔNG HƠP QUYẾT TOÁN CHI NGÂN SÁCH ĐỊA PHƯƠNG TỪNG HUYỆN NĂM 2017 SAU KHI QUYẾT TOÁN BỔ SUNG</t>
  </si>
  <si>
    <t>TỔNG HỢP QUYẾT TOÁN CHI BỔ SUNG TỪ NGÂN SÁCH CẤP TỈNH  CHO NGÂN SÁCH TỪNG HUYỆN  NĂM 2017 SAU KHI QUYẾT TOÁN BỔ SUNG</t>
  </si>
  <si>
    <t>Dự án hoàn thiện, hiện đại hóa hồ sơ, BĐ ĐGHC và XDCSDL ĐGHC</t>
  </si>
  <si>
    <t>(Kèm theo Nghị quyết  số 111/NQ-HĐND ngày  10 tháng  7  năm 2019 của Hội đồng nhân dân tỉnh Điện Biên)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</si>
</sst>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
    <numFmt numFmtId="175" formatCode="#,##0.000000"/>
    <numFmt numFmtId="176" formatCode="_(* #,##0_);_(* \(#,##0\);_(* &quot;-&quot;??_);_(@_)"/>
    <numFmt numFmtId="177" formatCode="#,###"/>
    <numFmt numFmtId="178" formatCode="#,##0;[Red]#,##0"/>
    <numFmt numFmtId="179" formatCode="#,##0.00;[Red]#,##0.00"/>
    <numFmt numFmtId="180" formatCode="#,##0.0"/>
    <numFmt numFmtId="181" formatCode="0.0000"/>
    <numFmt numFmtId="182" formatCode="0.000"/>
    <numFmt numFmtId="183" formatCode="0.0"/>
    <numFmt numFmtId="184" formatCode="#,##0.0000000"/>
    <numFmt numFmtId="185" formatCode="0.00000"/>
    <numFmt numFmtId="186" formatCode="0.000000"/>
    <numFmt numFmtId="187" formatCode="#,##0.00000000"/>
  </numFmts>
  <fonts count="83">
    <font>
      <sz val="11"/>
      <color theme="1"/>
      <name val="Calibri"/>
      <family val="2"/>
    </font>
    <font>
      <sz val="12"/>
      <color indexed="8"/>
      <name val="Times New Roman"/>
      <family val="2"/>
    </font>
    <font>
      <b/>
      <sz val="12"/>
      <color indexed="8"/>
      <name val="Times New Roman"/>
      <family val="1"/>
    </font>
    <font>
      <i/>
      <sz val="12"/>
      <color indexed="8"/>
      <name val="Times New Roman"/>
      <family val="1"/>
    </font>
    <font>
      <b/>
      <i/>
      <sz val="12"/>
      <color indexed="8"/>
      <name val="Times New Roman"/>
      <family val="1"/>
    </font>
    <font>
      <sz val="10"/>
      <color indexed="8"/>
      <name val="Times New Roman"/>
      <family val="1"/>
    </font>
    <font>
      <sz val="10"/>
      <color indexed="8"/>
      <name val="Calibri"/>
      <family val="2"/>
    </font>
    <font>
      <b/>
      <sz val="12"/>
      <name val="Times New Roman"/>
      <family val="1"/>
    </font>
    <font>
      <i/>
      <sz val="12"/>
      <name val="Times New Roman"/>
      <family val="1"/>
    </font>
    <font>
      <sz val="12"/>
      <name val="Times New Roman"/>
      <family val="1"/>
    </font>
    <font>
      <b/>
      <sz val="11"/>
      <color indexed="8"/>
      <name val="Calibri"/>
      <family val="2"/>
    </font>
    <font>
      <sz val="11"/>
      <color indexed="8"/>
      <name val="Calibri"/>
      <family val="2"/>
    </font>
    <font>
      <sz val="8"/>
      <name val="Calibri"/>
      <family val="2"/>
    </font>
    <font>
      <sz val="10"/>
      <color indexed="8"/>
      <name val="MS Sans Serif"/>
      <family val="2"/>
    </font>
    <font>
      <sz val="11"/>
      <name val="Times New Roman"/>
      <family val="1"/>
    </font>
    <font>
      <sz val="11"/>
      <color indexed="56"/>
      <name val="Calibri"/>
      <family val="2"/>
    </font>
    <font>
      <sz val="11"/>
      <name val="Calibri"/>
      <family val="2"/>
    </font>
    <font>
      <b/>
      <sz val="12"/>
      <color indexed="56"/>
      <name val="Times New Roman"/>
      <family val="1"/>
    </font>
    <font>
      <sz val="12"/>
      <color indexed="56"/>
      <name val="Times New Roman"/>
      <family val="1"/>
    </font>
    <font>
      <b/>
      <sz val="10"/>
      <color indexed="8"/>
      <name val="MS Sans Serif"/>
      <family val="2"/>
    </font>
    <font>
      <b/>
      <sz val="13"/>
      <color indexed="8"/>
      <name val="Times New Roman"/>
      <family val="1"/>
    </font>
    <font>
      <b/>
      <sz val="14"/>
      <color indexed="8"/>
      <name val="Times New Roman"/>
      <family val="1"/>
    </font>
    <font>
      <sz val="10"/>
      <name val="Times New Roman"/>
      <family val="1"/>
    </font>
    <font>
      <b/>
      <sz val="10"/>
      <name val="Times New Roman"/>
      <family val="1"/>
    </font>
    <font>
      <sz val="11"/>
      <color indexed="8"/>
      <name val="times new roman"/>
      <family val="2"/>
    </font>
    <font>
      <b/>
      <sz val="14"/>
      <name val="Times New Roman"/>
      <family val="1"/>
    </font>
    <font>
      <b/>
      <i/>
      <sz val="12"/>
      <name val="Times New Roman"/>
      <family val="1"/>
    </font>
    <font>
      <b/>
      <sz val="13"/>
      <name val="Times New Roman"/>
      <family val="1"/>
    </font>
    <font>
      <sz val="13"/>
      <name val="Times New Roman"/>
      <family val="1"/>
    </font>
    <font>
      <sz val="13"/>
      <color indexed="8"/>
      <name val="Times New Roman"/>
      <family val="1"/>
    </font>
    <font>
      <sz val="13"/>
      <color indexed="56"/>
      <name val="Times New Roman"/>
      <family val="1"/>
    </font>
    <font>
      <sz val="13"/>
      <color indexed="8"/>
      <name val="MS Sans Serif"/>
      <family val="2"/>
    </font>
    <font>
      <b/>
      <sz val="11"/>
      <name val="Times New Roman"/>
      <family val="1"/>
    </font>
    <font>
      <i/>
      <sz val="13"/>
      <color indexed="8"/>
      <name val="Times New Roman"/>
      <family val="1"/>
    </font>
    <font>
      <sz val="8"/>
      <name val="Times New Roman"/>
      <family val="1"/>
    </font>
    <font>
      <b/>
      <sz val="18"/>
      <color indexed="8"/>
      <name val="Times New Roman"/>
      <family val="1"/>
    </font>
    <font>
      <sz val="10"/>
      <name val="Arial"/>
      <family val="2"/>
    </font>
    <font>
      <sz val="12"/>
      <name val=".VnTime"/>
      <family val="2"/>
    </font>
    <font>
      <sz val="14"/>
      <name val=".VnTime"/>
      <family val="2"/>
    </font>
    <font>
      <sz val="10"/>
      <name val=".VnTime"/>
      <family val="2"/>
    </font>
    <font>
      <sz val="13"/>
      <color indexed="10"/>
      <name val="Times New Roman"/>
      <family val="1"/>
    </font>
    <font>
      <i/>
      <sz val="13"/>
      <name val="Times New Roman"/>
      <family val="1"/>
    </font>
    <font>
      <i/>
      <sz val="16"/>
      <color indexed="8"/>
      <name val="Times New Roman"/>
      <family val="1"/>
    </font>
    <font>
      <i/>
      <sz val="11"/>
      <name val="Times New Roman"/>
      <family val="1"/>
    </font>
    <font>
      <sz val="10"/>
      <name val="MS Sans Serif"/>
      <family val="2"/>
    </font>
    <font>
      <b/>
      <sz val="10"/>
      <name val="MS Sans Serif"/>
      <family val="2"/>
    </font>
    <font>
      <b/>
      <sz val="8"/>
      <name val="Tahoma"/>
      <family val="2"/>
    </font>
    <font>
      <sz val="8"/>
      <name val="Tahoma"/>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style="hair"/>
      <bottom style="hair"/>
    </border>
    <border>
      <left style="hair"/>
      <right style="thin"/>
      <top style="hair"/>
      <bottom style="hair"/>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top style="thin"/>
      <bottom/>
    </border>
    <border>
      <left style="thin"/>
      <right/>
      <top/>
      <bottom style="thin"/>
    </border>
    <border>
      <left/>
      <right/>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171" fontId="11" fillId="0" borderId="0" applyFont="0" applyFill="0" applyBorder="0" applyAlignment="0" applyProtection="0"/>
    <xf numFmtId="169" fontId="1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0" fontId="11" fillId="0" borderId="0" applyFont="0" applyFill="0" applyBorder="0" applyAlignment="0" applyProtection="0"/>
    <xf numFmtId="168" fontId="11" fillId="0" borderId="0" applyFont="0" applyFill="0" applyBorder="0" applyAlignment="0" applyProtection="0"/>
    <xf numFmtId="0" fontId="68" fillId="28" borderId="2"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38" fillId="0" borderId="0">
      <alignment/>
      <protection/>
    </xf>
    <xf numFmtId="0" fontId="11" fillId="0" borderId="0">
      <alignment/>
      <protection/>
    </xf>
    <xf numFmtId="0" fontId="36" fillId="0" borderId="0">
      <alignment/>
      <protection/>
    </xf>
    <xf numFmtId="0" fontId="37" fillId="0" borderId="0">
      <alignment/>
      <protection/>
    </xf>
    <xf numFmtId="0" fontId="11" fillId="0" borderId="0">
      <alignment/>
      <protection/>
    </xf>
    <xf numFmtId="0" fontId="9" fillId="0" borderId="0">
      <alignment/>
      <protection/>
    </xf>
    <xf numFmtId="0" fontId="36" fillId="0" borderId="0">
      <alignment/>
      <protection/>
    </xf>
    <xf numFmtId="0" fontId="24" fillId="0" borderId="0">
      <alignment/>
      <protection/>
    </xf>
    <xf numFmtId="0" fontId="11" fillId="0" borderId="0">
      <alignment/>
      <protection/>
    </xf>
    <xf numFmtId="0" fontId="11" fillId="32" borderId="7" applyNumberFormat="0" applyFont="0" applyAlignment="0" applyProtection="0"/>
    <xf numFmtId="0" fontId="78" fillId="27" borderId="8" applyNumberFormat="0" applyAlignment="0" applyProtection="0"/>
    <xf numFmtId="9" fontId="11" fillId="0" borderId="0" applyFont="0" applyFill="0" applyBorder="0" applyAlignment="0" applyProtection="0"/>
    <xf numFmtId="0" fontId="13"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13" fillId="0" borderId="0">
      <alignment/>
      <protection/>
    </xf>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27">
    <xf numFmtId="0" fontId="0" fillId="0" borderId="0" xfId="0" applyFont="1" applyAlignment="1">
      <alignment/>
    </xf>
    <xf numFmtId="0" fontId="2" fillId="0" borderId="10" xfId="0" applyFont="1" applyBorder="1" applyAlignment="1">
      <alignment horizontal="center" vertical="center" wrapText="1"/>
    </xf>
    <xf numFmtId="0" fontId="0" fillId="0" borderId="0" xfId="0" applyFont="1" applyAlignment="1">
      <alignment/>
    </xf>
    <xf numFmtId="0" fontId="5" fillId="0" borderId="10" xfId="0" applyFont="1" applyBorder="1" applyAlignment="1">
      <alignment horizontal="center" vertical="center" wrapText="1"/>
    </xf>
    <xf numFmtId="0" fontId="6" fillId="0" borderId="0" xfId="0" applyFont="1" applyAlignment="1">
      <alignment/>
    </xf>
    <xf numFmtId="0" fontId="2" fillId="0" borderId="11" xfId="0" applyFont="1" applyBorder="1" applyAlignment="1">
      <alignment vertical="center" wrapText="1"/>
    </xf>
    <xf numFmtId="0" fontId="10" fillId="0" borderId="0" xfId="0" applyFont="1" applyAlignment="1">
      <alignment/>
    </xf>
    <xf numFmtId="4" fontId="0" fillId="0" borderId="0" xfId="0" applyNumberFormat="1" applyAlignment="1">
      <alignment/>
    </xf>
    <xf numFmtId="3" fontId="7" fillId="33" borderId="12" xfId="0" applyNumberFormat="1" applyFont="1" applyFill="1" applyBorder="1" applyAlignment="1">
      <alignment horizontal="center"/>
    </xf>
    <xf numFmtId="3" fontId="7" fillId="33" borderId="12" xfId="0" applyNumberFormat="1" applyFont="1" applyFill="1" applyBorder="1" applyAlignment="1">
      <alignment/>
    </xf>
    <xf numFmtId="3" fontId="9" fillId="33" borderId="12" xfId="0" applyNumberFormat="1" applyFont="1" applyFill="1" applyBorder="1" applyAlignment="1">
      <alignment/>
    </xf>
    <xf numFmtId="3" fontId="9" fillId="33" borderId="12" xfId="0" applyNumberFormat="1" applyFont="1" applyFill="1" applyBorder="1" applyAlignment="1">
      <alignment horizontal="left"/>
    </xf>
    <xf numFmtId="3" fontId="9" fillId="33" borderId="12" xfId="0" applyNumberFormat="1" applyFont="1" applyFill="1" applyBorder="1" applyAlignment="1">
      <alignment horizontal="left" vertical="center" wrapText="1"/>
    </xf>
    <xf numFmtId="4" fontId="1" fillId="0" borderId="12" xfId="0" applyNumberFormat="1" applyFont="1" applyBorder="1" applyAlignment="1">
      <alignment horizontal="right" vertical="center" wrapText="1"/>
    </xf>
    <xf numFmtId="0" fontId="2" fillId="0" borderId="11" xfId="0" applyFont="1" applyBorder="1" applyAlignment="1">
      <alignment horizontal="right" vertical="center" wrapText="1"/>
    </xf>
    <xf numFmtId="9" fontId="1" fillId="0" borderId="12" xfId="70" applyFont="1" applyBorder="1" applyAlignment="1">
      <alignment horizontal="right" vertical="center" wrapText="1"/>
    </xf>
    <xf numFmtId="0" fontId="1" fillId="0" borderId="13" xfId="0" applyFont="1" applyBorder="1" applyAlignment="1">
      <alignment horizontal="right" vertical="center" wrapText="1"/>
    </xf>
    <xf numFmtId="3" fontId="9" fillId="33" borderId="12" xfId="0" applyNumberFormat="1" applyFont="1" applyFill="1" applyBorder="1" applyAlignment="1">
      <alignment/>
    </xf>
    <xf numFmtId="3" fontId="1" fillId="0" borderId="12" xfId="0" applyNumberFormat="1" applyFont="1" applyBorder="1" applyAlignment="1">
      <alignment vertical="center" wrapText="1"/>
    </xf>
    <xf numFmtId="3" fontId="1" fillId="0" borderId="13" xfId="0" applyNumberFormat="1" applyFont="1" applyBorder="1" applyAlignment="1">
      <alignment vertical="center" wrapText="1"/>
    </xf>
    <xf numFmtId="3" fontId="2" fillId="0" borderId="11" xfId="0" applyNumberFormat="1" applyFont="1" applyBorder="1" applyAlignment="1">
      <alignment vertical="center" wrapText="1"/>
    </xf>
    <xf numFmtId="3" fontId="9" fillId="33" borderId="12"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vertical="center" wrapText="1"/>
    </xf>
    <xf numFmtId="3" fontId="2" fillId="33" borderId="12" xfId="0" applyNumberFormat="1" applyFont="1" applyFill="1" applyBorder="1" applyAlignment="1">
      <alignment horizontal="center" vertical="center" wrapText="1"/>
    </xf>
    <xf numFmtId="3" fontId="1" fillId="33" borderId="12" xfId="0" applyNumberFormat="1"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vertical="center" wrapText="1"/>
    </xf>
    <xf numFmtId="0" fontId="8" fillId="33" borderId="12" xfId="0" applyFont="1" applyFill="1" applyBorder="1" applyAlignment="1">
      <alignment vertical="center" wrapText="1"/>
    </xf>
    <xf numFmtId="0" fontId="1"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4" fontId="2" fillId="33" borderId="12" xfId="0" applyNumberFormat="1" applyFont="1" applyFill="1" applyBorder="1" applyAlignment="1">
      <alignment horizontal="right" vertical="center" wrapText="1"/>
    </xf>
    <xf numFmtId="4" fontId="1" fillId="33" borderId="12" xfId="0" applyNumberFormat="1" applyFont="1" applyFill="1" applyBorder="1" applyAlignment="1">
      <alignment horizontal="right" vertical="center" wrapText="1"/>
    </xf>
    <xf numFmtId="4" fontId="2" fillId="33" borderId="12" xfId="0" applyNumberFormat="1" applyFont="1" applyFill="1" applyBorder="1" applyAlignment="1">
      <alignment horizontal="center" vertical="center" wrapText="1"/>
    </xf>
    <xf numFmtId="4" fontId="7" fillId="33" borderId="12" xfId="0" applyNumberFormat="1" applyFont="1" applyFill="1" applyBorder="1" applyAlignment="1">
      <alignment horizontal="right" vertical="center" wrapText="1"/>
    </xf>
    <xf numFmtId="4" fontId="9" fillId="33" borderId="12" xfId="0" applyNumberFormat="1" applyFont="1" applyFill="1" applyBorder="1" applyAlignment="1">
      <alignment horizontal="right" vertical="center" wrapText="1"/>
    </xf>
    <xf numFmtId="4" fontId="2" fillId="33" borderId="13" xfId="0" applyNumberFormat="1" applyFont="1" applyFill="1" applyBorder="1" applyAlignment="1">
      <alignment horizontal="right" vertical="center" wrapText="1"/>
    </xf>
    <xf numFmtId="0" fontId="13" fillId="33" borderId="0" xfId="0" applyFont="1" applyFill="1" applyAlignment="1">
      <alignment vertical="center"/>
    </xf>
    <xf numFmtId="3" fontId="13" fillId="33" borderId="0" xfId="0" applyNumberFormat="1" applyFont="1" applyFill="1" applyAlignment="1">
      <alignment horizontal="right" vertical="center"/>
    </xf>
    <xf numFmtId="3" fontId="15" fillId="33" borderId="0" xfId="0" applyNumberFormat="1" applyFont="1" applyFill="1" applyAlignment="1">
      <alignment horizontal="right" vertical="center"/>
    </xf>
    <xf numFmtId="175" fontId="16" fillId="33" borderId="0" xfId="0" applyNumberFormat="1" applyFont="1" applyFill="1" applyAlignment="1">
      <alignment horizontal="right" vertical="center"/>
    </xf>
    <xf numFmtId="175" fontId="13" fillId="33" borderId="0" xfId="0" applyNumberFormat="1" applyFont="1" applyFill="1" applyAlignment="1">
      <alignment horizontal="right" vertical="center"/>
    </xf>
    <xf numFmtId="175" fontId="15" fillId="33" borderId="0" xfId="0" applyNumberFormat="1" applyFont="1" applyFill="1" applyAlignment="1">
      <alignment horizontal="right" vertical="center"/>
    </xf>
    <xf numFmtId="9" fontId="13" fillId="33" borderId="0" xfId="0" applyNumberFormat="1" applyFont="1" applyFill="1" applyAlignment="1">
      <alignment horizontal="right" vertical="center"/>
    </xf>
    <xf numFmtId="9" fontId="15" fillId="33" borderId="0" xfId="0" applyNumberFormat="1" applyFont="1" applyFill="1" applyAlignment="1">
      <alignment horizontal="right" vertical="center"/>
    </xf>
    <xf numFmtId="9" fontId="13" fillId="33" borderId="0" xfId="0" applyNumberFormat="1" applyFont="1" applyFill="1" applyAlignment="1">
      <alignment vertical="center"/>
    </xf>
    <xf numFmtId="3" fontId="2" fillId="33" borderId="10" xfId="0" applyNumberFormat="1" applyFont="1" applyFill="1" applyBorder="1" applyAlignment="1">
      <alignment horizontal="center" vertical="center" wrapText="1"/>
    </xf>
    <xf numFmtId="9" fontId="2" fillId="33" borderId="10" xfId="0" applyNumberFormat="1" applyFont="1" applyFill="1" applyBorder="1" applyAlignment="1">
      <alignment horizontal="center" vertical="center" wrapText="1"/>
    </xf>
    <xf numFmtId="0" fontId="13" fillId="33" borderId="0" xfId="0" applyFont="1" applyFill="1" applyAlignment="1">
      <alignment horizontal="center" vertical="center"/>
    </xf>
    <xf numFmtId="175" fontId="17" fillId="33" borderId="10" xfId="0" applyNumberFormat="1" applyFont="1" applyFill="1" applyBorder="1" applyAlignment="1">
      <alignment horizontal="center" vertical="center" wrapText="1"/>
    </xf>
    <xf numFmtId="3" fontId="17" fillId="33" borderId="10" xfId="0" applyNumberFormat="1" applyFont="1" applyFill="1" applyBorder="1" applyAlignment="1">
      <alignment horizontal="center" vertical="center" wrapText="1"/>
    </xf>
    <xf numFmtId="9" fontId="17"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9" fillId="33" borderId="12" xfId="0" applyFont="1" applyFill="1" applyBorder="1" applyAlignment="1">
      <alignment vertical="center"/>
    </xf>
    <xf numFmtId="0" fontId="1" fillId="33" borderId="13" xfId="0" applyFont="1" applyFill="1" applyBorder="1" applyAlignment="1">
      <alignment vertical="center" wrapText="1"/>
    </xf>
    <xf numFmtId="3" fontId="1" fillId="33" borderId="13" xfId="0" applyNumberFormat="1" applyFont="1" applyFill="1" applyBorder="1" applyAlignment="1">
      <alignment horizontal="right" vertical="center" wrapText="1"/>
    </xf>
    <xf numFmtId="3" fontId="18" fillId="33" borderId="13" xfId="0" applyNumberFormat="1" applyFont="1" applyFill="1" applyBorder="1" applyAlignment="1">
      <alignment horizontal="right" vertical="center" wrapText="1"/>
    </xf>
    <xf numFmtId="175" fontId="9" fillId="33" borderId="13" xfId="0" applyNumberFormat="1" applyFont="1" applyFill="1" applyBorder="1" applyAlignment="1">
      <alignment horizontal="right" vertical="center" wrapText="1"/>
    </xf>
    <xf numFmtId="175" fontId="1" fillId="33" borderId="13" xfId="0" applyNumberFormat="1" applyFont="1" applyFill="1" applyBorder="1" applyAlignment="1">
      <alignment horizontal="right" vertical="center" wrapText="1"/>
    </xf>
    <xf numFmtId="175" fontId="18" fillId="33" borderId="13" xfId="0" applyNumberFormat="1" applyFont="1" applyFill="1" applyBorder="1" applyAlignment="1">
      <alignment horizontal="right" vertical="center" wrapText="1"/>
    </xf>
    <xf numFmtId="9" fontId="1" fillId="33" borderId="13" xfId="0" applyNumberFormat="1" applyFont="1" applyFill="1" applyBorder="1" applyAlignment="1">
      <alignment horizontal="right" vertical="center" wrapText="1"/>
    </xf>
    <xf numFmtId="9" fontId="18" fillId="33" borderId="13" xfId="0" applyNumberFormat="1" applyFont="1" applyFill="1" applyBorder="1" applyAlignment="1">
      <alignment horizontal="right" vertical="center" wrapText="1"/>
    </xf>
    <xf numFmtId="0" fontId="4" fillId="33" borderId="0" xfId="0" applyFont="1" applyFill="1" applyAlignment="1">
      <alignment horizontal="left" vertical="center"/>
    </xf>
    <xf numFmtId="0" fontId="3" fillId="33" borderId="0" xfId="0" applyFont="1" applyFill="1" applyAlignment="1">
      <alignment horizontal="left" vertical="center"/>
    </xf>
    <xf numFmtId="0" fontId="0" fillId="33" borderId="0" xfId="0" applyFont="1" applyFill="1" applyAlignment="1">
      <alignment vertical="center"/>
    </xf>
    <xf numFmtId="3" fontId="0" fillId="33" borderId="0" xfId="0" applyNumberFormat="1" applyFont="1" applyFill="1" applyAlignment="1">
      <alignment horizontal="right" vertical="center"/>
    </xf>
    <xf numFmtId="175" fontId="0" fillId="33" borderId="0" xfId="0" applyNumberFormat="1" applyFont="1" applyFill="1" applyAlignment="1">
      <alignment horizontal="right" vertical="center"/>
    </xf>
    <xf numFmtId="9" fontId="0" fillId="33" borderId="0" xfId="0" applyNumberFormat="1" applyFont="1" applyFill="1" applyAlignment="1">
      <alignment horizontal="right" vertical="center"/>
    </xf>
    <xf numFmtId="0" fontId="13" fillId="33" borderId="0" xfId="0" applyFont="1" applyFill="1" applyAlignment="1">
      <alignment horizontal="left" vertical="center"/>
    </xf>
    <xf numFmtId="0" fontId="19" fillId="33" borderId="0" xfId="0" applyFont="1" applyFill="1" applyAlignment="1">
      <alignment vertical="center"/>
    </xf>
    <xf numFmtId="0" fontId="0" fillId="0" borderId="11" xfId="0" applyBorder="1" applyAlignment="1">
      <alignment/>
    </xf>
    <xf numFmtId="0" fontId="0" fillId="0" borderId="12" xfId="0" applyBorder="1" applyAlignment="1">
      <alignment/>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0" fillId="0" borderId="13" xfId="0" applyBorder="1" applyAlignment="1">
      <alignment/>
    </xf>
    <xf numFmtId="4" fontId="2" fillId="0" borderId="11" xfId="0" applyNumberFormat="1" applyFont="1" applyBorder="1" applyAlignment="1">
      <alignment horizontal="right" vertical="center" wrapText="1"/>
    </xf>
    <xf numFmtId="9" fontId="2" fillId="0" borderId="11" xfId="70" applyFont="1" applyBorder="1" applyAlignment="1">
      <alignment horizontal="right" vertical="center" wrapText="1"/>
    </xf>
    <xf numFmtId="4" fontId="1" fillId="33" borderId="12" xfId="66" applyNumberFormat="1" applyFont="1" applyFill="1" applyBorder="1" applyAlignment="1">
      <alignment horizontal="right" vertical="center" wrapText="1"/>
      <protection/>
    </xf>
    <xf numFmtId="4" fontId="1" fillId="33" borderId="13" xfId="0" applyNumberFormat="1" applyFont="1" applyFill="1" applyBorder="1" applyAlignment="1">
      <alignment horizontal="right" vertical="center" wrapText="1"/>
    </xf>
    <xf numFmtId="4" fontId="1" fillId="33" borderId="12" xfId="0" applyNumberFormat="1" applyFont="1" applyFill="1" applyBorder="1" applyAlignment="1">
      <alignment horizontal="center" vertical="center" wrapText="1"/>
    </xf>
    <xf numFmtId="0" fontId="11" fillId="33" borderId="0" xfId="0" applyFont="1" applyFill="1" applyAlignment="1">
      <alignment/>
    </xf>
    <xf numFmtId="0" fontId="11" fillId="33" borderId="0" xfId="0" applyFont="1" applyFill="1" applyAlignment="1">
      <alignment horizontal="right"/>
    </xf>
    <xf numFmtId="0" fontId="10" fillId="33" borderId="0" xfId="0" applyFont="1" applyFill="1" applyAlignment="1">
      <alignment horizontal="right"/>
    </xf>
    <xf numFmtId="0" fontId="2" fillId="33" borderId="0" xfId="0" applyFont="1" applyFill="1" applyAlignment="1">
      <alignment horizontal="right" vertical="center"/>
    </xf>
    <xf numFmtId="0" fontId="10" fillId="33" borderId="0" xfId="0" applyFont="1" applyFill="1" applyAlignment="1">
      <alignment horizontal="center"/>
    </xf>
    <xf numFmtId="3" fontId="2" fillId="33" borderId="14" xfId="0" applyNumberFormat="1" applyFont="1" applyFill="1" applyBorder="1" applyAlignment="1">
      <alignment horizontal="center" vertical="center" wrapText="1"/>
    </xf>
    <xf numFmtId="3" fontId="2" fillId="33" borderId="14" xfId="0" applyNumberFormat="1" applyFont="1" applyFill="1" applyBorder="1" applyAlignment="1">
      <alignment vertical="center" wrapText="1"/>
    </xf>
    <xf numFmtId="3" fontId="2" fillId="33" borderId="14" xfId="0" applyNumberFormat="1" applyFont="1" applyFill="1" applyBorder="1" applyAlignment="1">
      <alignment horizontal="right" vertical="center" wrapText="1"/>
    </xf>
    <xf numFmtId="4" fontId="2" fillId="33" borderId="14" xfId="0" applyNumberFormat="1" applyFont="1" applyFill="1" applyBorder="1" applyAlignment="1">
      <alignment horizontal="right" vertical="center" wrapText="1"/>
    </xf>
    <xf numFmtId="9" fontId="2" fillId="33" borderId="14" xfId="70" applyFont="1" applyFill="1" applyBorder="1" applyAlignment="1">
      <alignment horizontal="right" vertical="center" wrapText="1"/>
    </xf>
    <xf numFmtId="0" fontId="10" fillId="33" borderId="0" xfId="0" applyFont="1" applyFill="1" applyAlignment="1">
      <alignment/>
    </xf>
    <xf numFmtId="3" fontId="10" fillId="33" borderId="0" xfId="0" applyNumberFormat="1" applyFont="1" applyFill="1" applyAlignment="1">
      <alignment/>
    </xf>
    <xf numFmtId="3" fontId="2" fillId="33" borderId="12" xfId="0" applyNumberFormat="1" applyFont="1" applyFill="1" applyBorder="1" applyAlignment="1">
      <alignment vertical="center" wrapText="1"/>
    </xf>
    <xf numFmtId="3" fontId="2" fillId="33" borderId="12" xfId="0" applyNumberFormat="1" applyFont="1" applyFill="1" applyBorder="1" applyAlignment="1">
      <alignment horizontal="right" vertical="center" wrapText="1"/>
    </xf>
    <xf numFmtId="9" fontId="2" fillId="33" borderId="12" xfId="70" applyFont="1" applyFill="1" applyBorder="1" applyAlignment="1">
      <alignment horizontal="right" vertical="center" wrapText="1"/>
    </xf>
    <xf numFmtId="3" fontId="1" fillId="33" borderId="12" xfId="0" applyNumberFormat="1" applyFont="1" applyFill="1" applyBorder="1" applyAlignment="1">
      <alignment vertical="center" wrapText="1"/>
    </xf>
    <xf numFmtId="3" fontId="1" fillId="33" borderId="12" xfId="0" applyNumberFormat="1" applyFont="1" applyFill="1" applyBorder="1" applyAlignment="1">
      <alignment horizontal="right" vertical="center" wrapText="1"/>
    </xf>
    <xf numFmtId="9" fontId="1" fillId="33" borderId="12" xfId="70" applyFont="1" applyFill="1" applyBorder="1" applyAlignment="1">
      <alignment horizontal="right" vertical="center" wrapText="1"/>
    </xf>
    <xf numFmtId="3" fontId="1" fillId="33" borderId="12" xfId="0" applyNumberFormat="1" applyFont="1" applyFill="1" applyBorder="1" applyAlignment="1" quotePrefix="1">
      <alignment vertical="center" wrapText="1"/>
    </xf>
    <xf numFmtId="9" fontId="2" fillId="33" borderId="13" xfId="70" applyFont="1" applyFill="1" applyBorder="1" applyAlignment="1">
      <alignment horizontal="right" vertical="center" wrapText="1"/>
    </xf>
    <xf numFmtId="0" fontId="1" fillId="33" borderId="0" xfId="0" applyFont="1" applyFill="1" applyAlignment="1">
      <alignment horizontal="left" vertical="center"/>
    </xf>
    <xf numFmtId="0" fontId="16" fillId="33" borderId="0" xfId="0" applyFont="1" applyFill="1" applyAlignment="1">
      <alignment/>
    </xf>
    <xf numFmtId="0" fontId="7" fillId="33" borderId="0" xfId="0" applyFont="1" applyFill="1" applyAlignment="1">
      <alignment horizontal="right" vertical="center"/>
    </xf>
    <xf numFmtId="3" fontId="16" fillId="33" borderId="0" xfId="0" applyNumberFormat="1" applyFont="1" applyFill="1" applyAlignment="1">
      <alignment/>
    </xf>
    <xf numFmtId="0" fontId="8" fillId="33" borderId="0" xfId="0" applyFont="1" applyFill="1" applyAlignment="1">
      <alignment horizontal="right" vertical="center"/>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3" fontId="7" fillId="33" borderId="12" xfId="0" applyNumberFormat="1" applyFont="1" applyFill="1" applyBorder="1" applyAlignment="1">
      <alignment vertical="center" wrapText="1"/>
    </xf>
    <xf numFmtId="4" fontId="7" fillId="33" borderId="12" xfId="0" applyNumberFormat="1" applyFont="1" applyFill="1" applyBorder="1" applyAlignment="1">
      <alignment vertical="center" wrapText="1"/>
    </xf>
    <xf numFmtId="9" fontId="7" fillId="33" borderId="12" xfId="70" applyFont="1" applyFill="1" applyBorder="1" applyAlignment="1">
      <alignment vertical="center" wrapText="1"/>
    </xf>
    <xf numFmtId="3" fontId="9" fillId="33" borderId="12" xfId="0" applyNumberFormat="1" applyFont="1" applyFill="1" applyBorder="1" applyAlignment="1">
      <alignment vertical="center" wrapText="1"/>
    </xf>
    <xf numFmtId="4" fontId="9" fillId="33" borderId="12" xfId="0" applyNumberFormat="1" applyFont="1" applyFill="1" applyBorder="1" applyAlignment="1">
      <alignment vertical="center" wrapText="1"/>
    </xf>
    <xf numFmtId="9" fontId="9" fillId="33" borderId="12" xfId="70" applyFont="1" applyFill="1" applyBorder="1" applyAlignment="1">
      <alignment vertical="center" wrapText="1"/>
    </xf>
    <xf numFmtId="3" fontId="8" fillId="33" borderId="12" xfId="0" applyNumberFormat="1" applyFont="1" applyFill="1" applyBorder="1" applyAlignment="1">
      <alignment vertical="center" wrapText="1"/>
    </xf>
    <xf numFmtId="3" fontId="7" fillId="33" borderId="12" xfId="0" applyNumberFormat="1" applyFont="1" applyFill="1" applyBorder="1" applyAlignment="1">
      <alignment horizontal="left" vertical="center" wrapText="1"/>
    </xf>
    <xf numFmtId="3" fontId="9" fillId="33" borderId="12" xfId="0" applyNumberFormat="1" applyFont="1" applyFill="1" applyBorder="1" applyAlignment="1">
      <alignment horizontal="center"/>
    </xf>
    <xf numFmtId="3" fontId="7" fillId="33" borderId="12" xfId="0" applyNumberFormat="1" applyFont="1" applyFill="1" applyBorder="1" applyAlignment="1">
      <alignment horizontal="center" vertical="center" wrapText="1"/>
    </xf>
    <xf numFmtId="3" fontId="7" fillId="33" borderId="12" xfId="0" applyNumberFormat="1" applyFont="1" applyFill="1" applyBorder="1" applyAlignment="1">
      <alignment vertical="center" wrapText="1"/>
    </xf>
    <xf numFmtId="0" fontId="7" fillId="33" borderId="13" xfId="0" applyFont="1" applyFill="1" applyBorder="1" applyAlignment="1">
      <alignment vertical="center" wrapText="1"/>
    </xf>
    <xf numFmtId="3" fontId="9" fillId="33" borderId="13" xfId="0" applyNumberFormat="1" applyFont="1" applyFill="1" applyBorder="1" applyAlignment="1">
      <alignment vertical="center" wrapText="1"/>
    </xf>
    <xf numFmtId="4" fontId="7" fillId="33" borderId="13" xfId="0" applyNumberFormat="1" applyFont="1" applyFill="1" applyBorder="1" applyAlignment="1">
      <alignment vertical="center" wrapText="1"/>
    </xf>
    <xf numFmtId="0" fontId="28" fillId="33" borderId="12" xfId="0" applyFont="1" applyFill="1" applyBorder="1" applyAlignment="1">
      <alignment vertical="center"/>
    </xf>
    <xf numFmtId="0" fontId="31" fillId="33" borderId="0" xfId="0" applyFont="1" applyFill="1" applyAlignment="1">
      <alignment vertical="center"/>
    </xf>
    <xf numFmtId="0" fontId="0" fillId="0" borderId="15" xfId="0" applyBorder="1" applyAlignment="1">
      <alignment/>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xf>
    <xf numFmtId="0" fontId="4" fillId="0" borderId="0" xfId="0" applyFont="1" applyBorder="1" applyAlignment="1">
      <alignment vertical="center"/>
    </xf>
    <xf numFmtId="4" fontId="0" fillId="0" borderId="0" xfId="0" applyNumberFormat="1" applyBorder="1" applyAlignment="1">
      <alignment/>
    </xf>
    <xf numFmtId="2" fontId="0" fillId="0" borderId="0" xfId="0" applyNumberFormat="1" applyBorder="1" applyAlignment="1">
      <alignment/>
    </xf>
    <xf numFmtId="0" fontId="3" fillId="33" borderId="0" xfId="0" applyFont="1" applyFill="1" applyAlignment="1">
      <alignment horizontal="right" vertical="center"/>
    </xf>
    <xf numFmtId="9" fontId="7" fillId="33" borderId="12" xfId="70" applyFont="1" applyFill="1" applyBorder="1" applyAlignment="1">
      <alignment horizontal="right" vertical="center" wrapText="1"/>
    </xf>
    <xf numFmtId="9" fontId="9" fillId="33" borderId="12" xfId="70" applyFont="1" applyFill="1" applyBorder="1" applyAlignment="1">
      <alignment horizontal="right" vertical="center" wrapText="1"/>
    </xf>
    <xf numFmtId="0" fontId="34" fillId="33" borderId="12" xfId="0" applyFont="1" applyFill="1" applyBorder="1" applyAlignment="1">
      <alignment vertical="center" wrapText="1"/>
    </xf>
    <xf numFmtId="3" fontId="2" fillId="33" borderId="11" xfId="0" applyNumberFormat="1" applyFont="1" applyFill="1" applyBorder="1" applyAlignment="1">
      <alignment vertical="center" wrapText="1"/>
    </xf>
    <xf numFmtId="3" fontId="17" fillId="33" borderId="11" xfId="0" applyNumberFormat="1" applyFont="1" applyFill="1" applyBorder="1" applyAlignment="1">
      <alignment vertical="center" wrapText="1"/>
    </xf>
    <xf numFmtId="4" fontId="7" fillId="33" borderId="11" xfId="0" applyNumberFormat="1" applyFont="1" applyFill="1" applyBorder="1" applyAlignment="1">
      <alignment vertical="center" wrapText="1"/>
    </xf>
    <xf numFmtId="9" fontId="2" fillId="33" borderId="11" xfId="0" applyNumberFormat="1" applyFont="1" applyFill="1" applyBorder="1" applyAlignment="1">
      <alignment vertical="center" wrapText="1"/>
    </xf>
    <xf numFmtId="9" fontId="17" fillId="33" borderId="11" xfId="0" applyNumberFormat="1" applyFont="1" applyFill="1" applyBorder="1" applyAlignment="1">
      <alignment vertical="center" wrapText="1"/>
    </xf>
    <xf numFmtId="3" fontId="29" fillId="33" borderId="12" xfId="0" applyNumberFormat="1" applyFont="1" applyFill="1" applyBorder="1" applyAlignment="1">
      <alignment vertical="center" wrapText="1"/>
    </xf>
    <xf numFmtId="3" fontId="30" fillId="33" borderId="12" xfId="0" applyNumberFormat="1" applyFont="1" applyFill="1" applyBorder="1" applyAlignment="1">
      <alignment vertical="center" wrapText="1"/>
    </xf>
    <xf numFmtId="4" fontId="28" fillId="33" borderId="12" xfId="0" applyNumberFormat="1" applyFont="1" applyFill="1" applyBorder="1" applyAlignment="1">
      <alignment vertical="center" wrapText="1"/>
    </xf>
    <xf numFmtId="4" fontId="29" fillId="33" borderId="12" xfId="0" applyNumberFormat="1" applyFont="1" applyFill="1" applyBorder="1" applyAlignment="1">
      <alignment vertical="center" wrapText="1"/>
    </xf>
    <xf numFmtId="4" fontId="30" fillId="33" borderId="12" xfId="0" applyNumberFormat="1" applyFont="1" applyFill="1" applyBorder="1" applyAlignment="1">
      <alignment vertical="center" wrapText="1"/>
    </xf>
    <xf numFmtId="9" fontId="29" fillId="33" borderId="12" xfId="0" applyNumberFormat="1" applyFont="1" applyFill="1" applyBorder="1" applyAlignment="1">
      <alignment vertical="center" wrapText="1"/>
    </xf>
    <xf numFmtId="9" fontId="30" fillId="33" borderId="12" xfId="0" applyNumberFormat="1" applyFont="1" applyFill="1" applyBorder="1" applyAlignment="1">
      <alignment vertical="center" wrapText="1"/>
    </xf>
    <xf numFmtId="0" fontId="1" fillId="0" borderId="12" xfId="0" applyFont="1" applyBorder="1" applyAlignment="1">
      <alignment horizontal="right"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vertical="center" wrapText="1"/>
    </xf>
    <xf numFmtId="0" fontId="5" fillId="33" borderId="10" xfId="0" applyFont="1" applyFill="1" applyBorder="1" applyAlignment="1">
      <alignment horizontal="center" vertical="center" wrapText="1"/>
    </xf>
    <xf numFmtId="3" fontId="7" fillId="33" borderId="12" xfId="0" applyNumberFormat="1" applyFont="1" applyFill="1" applyBorder="1" applyAlignment="1">
      <alignment horizontal="right" vertical="center" wrapText="1"/>
    </xf>
    <xf numFmtId="3" fontId="9" fillId="33" borderId="12" xfId="0" applyNumberFormat="1" applyFont="1" applyFill="1" applyBorder="1" applyAlignment="1">
      <alignment horizontal="right" vertical="center" wrapText="1"/>
    </xf>
    <xf numFmtId="9" fontId="1" fillId="33" borderId="13" xfId="70" applyFont="1" applyFill="1" applyBorder="1" applyAlignment="1">
      <alignment horizontal="right" vertical="center" wrapText="1"/>
    </xf>
    <xf numFmtId="0" fontId="8" fillId="33" borderId="16" xfId="0" applyFont="1" applyFill="1" applyBorder="1" applyAlignment="1">
      <alignment vertical="center" wrapText="1"/>
    </xf>
    <xf numFmtId="3" fontId="9" fillId="33" borderId="17" xfId="0" applyNumberFormat="1" applyFont="1" applyFill="1" applyBorder="1" applyAlignment="1">
      <alignment vertical="center" wrapText="1"/>
    </xf>
    <xf numFmtId="4" fontId="40" fillId="33" borderId="12" xfId="0" applyNumberFormat="1" applyFont="1" applyFill="1" applyBorder="1" applyAlignment="1">
      <alignment vertical="center" wrapText="1"/>
    </xf>
    <xf numFmtId="3" fontId="7" fillId="33" borderId="10" xfId="0" applyNumberFormat="1" applyFont="1" applyFill="1" applyBorder="1" applyAlignment="1">
      <alignment horizontal="center" vertical="center" wrapText="1"/>
    </xf>
    <xf numFmtId="0" fontId="0" fillId="33" borderId="0" xfId="0" applyFill="1" applyAlignment="1">
      <alignment/>
    </xf>
    <xf numFmtId="0" fontId="1" fillId="33" borderId="10" xfId="0" applyFont="1" applyFill="1" applyBorder="1" applyAlignment="1">
      <alignment horizontal="center" vertical="center" wrapText="1"/>
    </xf>
    <xf numFmtId="0" fontId="0" fillId="33" borderId="0" xfId="0" applyFont="1" applyFill="1" applyAlignment="1">
      <alignment/>
    </xf>
    <xf numFmtId="0" fontId="2" fillId="33" borderId="11" xfId="0"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4" fontId="2" fillId="33" borderId="11" xfId="0" applyNumberFormat="1" applyFont="1" applyFill="1" applyBorder="1" applyAlignment="1">
      <alignment horizontal="right" vertical="center" wrapText="1"/>
    </xf>
    <xf numFmtId="9" fontId="2" fillId="33" borderId="11" xfId="70" applyFont="1" applyFill="1" applyBorder="1" applyAlignment="1">
      <alignment horizontal="right" vertical="center" wrapText="1"/>
    </xf>
    <xf numFmtId="4" fontId="0" fillId="33" borderId="0" xfId="0" applyNumberFormat="1" applyFill="1" applyAlignment="1">
      <alignment/>
    </xf>
    <xf numFmtId="3" fontId="0" fillId="33" borderId="0" xfId="0" applyNumberFormat="1" applyFill="1" applyAlignment="1">
      <alignment/>
    </xf>
    <xf numFmtId="4" fontId="11" fillId="33" borderId="0" xfId="0" applyNumberFormat="1" applyFont="1" applyFill="1" applyAlignment="1">
      <alignment/>
    </xf>
    <xf numFmtId="0" fontId="2" fillId="33" borderId="13" xfId="0" applyFont="1" applyFill="1" applyBorder="1" applyAlignment="1">
      <alignment vertical="center" wrapText="1"/>
    </xf>
    <xf numFmtId="4" fontId="2" fillId="33" borderId="12" xfId="66" applyNumberFormat="1" applyFont="1" applyFill="1" applyBorder="1" applyAlignment="1">
      <alignment horizontal="right" vertical="center" wrapText="1"/>
      <protection/>
    </xf>
    <xf numFmtId="0" fontId="33" fillId="33" borderId="0" xfId="0" applyFont="1" applyFill="1" applyAlignment="1">
      <alignment vertical="center" wrapText="1"/>
    </xf>
    <xf numFmtId="175" fontId="14" fillId="0" borderId="0" xfId="66" applyNumberFormat="1" applyFont="1" applyAlignment="1">
      <alignment/>
      <protection/>
    </xf>
    <xf numFmtId="0" fontId="14" fillId="0" borderId="0" xfId="66" applyFont="1" applyAlignment="1">
      <alignment/>
      <protection/>
    </xf>
    <xf numFmtId="0" fontId="7" fillId="0" borderId="0" xfId="66" applyFont="1" applyAlignment="1">
      <alignment horizontal="center" vertical="center"/>
      <protection/>
    </xf>
    <xf numFmtId="0" fontId="14" fillId="0" borderId="0" xfId="66" applyFont="1">
      <alignment/>
      <protection/>
    </xf>
    <xf numFmtId="175" fontId="14" fillId="0" borderId="0" xfId="66" applyNumberFormat="1" applyFont="1">
      <alignment/>
      <protection/>
    </xf>
    <xf numFmtId="9" fontId="14" fillId="0" borderId="0" xfId="70" applyFont="1" applyAlignment="1">
      <alignment/>
    </xf>
    <xf numFmtId="0" fontId="8" fillId="0" borderId="0" xfId="66" applyFont="1" applyAlignment="1">
      <alignment horizontal="center" vertical="center"/>
      <protection/>
    </xf>
    <xf numFmtId="0" fontId="7" fillId="0" borderId="13" xfId="66" applyFont="1" applyBorder="1" applyAlignment="1">
      <alignment horizontal="center" vertical="center" wrapText="1"/>
      <protection/>
    </xf>
    <xf numFmtId="0" fontId="22" fillId="0" borderId="0" xfId="66" applyFont="1">
      <alignment/>
      <protection/>
    </xf>
    <xf numFmtId="0" fontId="7" fillId="0" borderId="12" xfId="66" applyFont="1" applyBorder="1" applyAlignment="1">
      <alignment horizontal="center" vertical="center" wrapText="1"/>
      <protection/>
    </xf>
    <xf numFmtId="0" fontId="7" fillId="0" borderId="12" xfId="66" applyFont="1" applyBorder="1" applyAlignment="1">
      <alignment vertical="center" wrapText="1"/>
      <protection/>
    </xf>
    <xf numFmtId="3" fontId="7" fillId="0" borderId="12" xfId="66" applyNumberFormat="1" applyFont="1" applyBorder="1" applyAlignment="1">
      <alignment horizontal="right" vertical="center" wrapText="1"/>
      <protection/>
    </xf>
    <xf numFmtId="179" fontId="7" fillId="0" borderId="12" xfId="70" applyNumberFormat="1" applyFont="1" applyBorder="1" applyAlignment="1">
      <alignment horizontal="right" vertical="center" wrapText="1"/>
    </xf>
    <xf numFmtId="0" fontId="32" fillId="0" borderId="0" xfId="66" applyFont="1">
      <alignment/>
      <protection/>
    </xf>
    <xf numFmtId="9" fontId="32" fillId="0" borderId="0" xfId="70" applyFont="1" applyAlignment="1">
      <alignment/>
    </xf>
    <xf numFmtId="0" fontId="9" fillId="0" borderId="12" xfId="66" applyFont="1" applyBorder="1" applyAlignment="1">
      <alignment horizontal="center" vertical="center" wrapText="1"/>
      <protection/>
    </xf>
    <xf numFmtId="0" fontId="9" fillId="0" borderId="12" xfId="66" applyFont="1" applyBorder="1" applyAlignment="1">
      <alignment vertical="center" wrapText="1"/>
      <protection/>
    </xf>
    <xf numFmtId="3" fontId="9" fillId="0" borderId="12" xfId="66" applyNumberFormat="1" applyFont="1" applyBorder="1" applyAlignment="1">
      <alignment horizontal="right" vertical="center" wrapText="1"/>
      <protection/>
    </xf>
    <xf numFmtId="179" fontId="9" fillId="0" borderId="12" xfId="70" applyNumberFormat="1" applyFont="1" applyBorder="1" applyAlignment="1">
      <alignment horizontal="right" vertical="center" wrapText="1"/>
    </xf>
    <xf numFmtId="0" fontId="8" fillId="0" borderId="12" xfId="66" applyFont="1" applyBorder="1" applyAlignment="1">
      <alignment horizontal="center" vertical="center" wrapText="1"/>
      <protection/>
    </xf>
    <xf numFmtId="0" fontId="8" fillId="0" borderId="12" xfId="66" applyFont="1" applyBorder="1" applyAlignment="1">
      <alignment vertical="center" wrapText="1"/>
      <protection/>
    </xf>
    <xf numFmtId="3" fontId="8" fillId="0" borderId="12" xfId="66" applyNumberFormat="1" applyFont="1" applyBorder="1" applyAlignment="1">
      <alignment horizontal="right" vertical="center" wrapText="1"/>
      <protection/>
    </xf>
    <xf numFmtId="179" fontId="8" fillId="0" borderId="12" xfId="70" applyNumberFormat="1" applyFont="1" applyBorder="1" applyAlignment="1">
      <alignment horizontal="right" vertical="center" wrapText="1"/>
    </xf>
    <xf numFmtId="0" fontId="43" fillId="0" borderId="0" xfId="66" applyFont="1">
      <alignment/>
      <protection/>
    </xf>
    <xf numFmtId="3" fontId="7" fillId="0" borderId="12" xfId="70" applyNumberFormat="1" applyFont="1" applyBorder="1" applyAlignment="1">
      <alignment horizontal="right" vertical="center" wrapText="1"/>
    </xf>
    <xf numFmtId="0" fontId="7" fillId="0" borderId="12" xfId="66" applyFont="1" applyBorder="1" applyAlignment="1">
      <alignment horizontal="center" vertical="center" wrapText="1"/>
      <protection/>
    </xf>
    <xf numFmtId="0" fontId="7" fillId="0" borderId="12" xfId="66" applyFont="1" applyBorder="1" applyAlignment="1">
      <alignment vertical="center" wrapText="1"/>
      <protection/>
    </xf>
    <xf numFmtId="3" fontId="7" fillId="0" borderId="12" xfId="66" applyNumberFormat="1" applyFont="1" applyBorder="1" applyAlignment="1">
      <alignment horizontal="right" vertical="center" wrapText="1"/>
      <protection/>
    </xf>
    <xf numFmtId="3" fontId="7" fillId="0" borderId="12" xfId="70" applyNumberFormat="1" applyFont="1" applyBorder="1" applyAlignment="1">
      <alignment horizontal="right" vertical="center" wrapText="1"/>
    </xf>
    <xf numFmtId="179" fontId="7" fillId="0" borderId="12" xfId="70" applyNumberFormat="1" applyFont="1" applyBorder="1" applyAlignment="1">
      <alignment horizontal="right" vertical="center" wrapText="1"/>
    </xf>
    <xf numFmtId="0" fontId="32" fillId="0" borderId="0" xfId="66" applyFont="1">
      <alignment/>
      <protection/>
    </xf>
    <xf numFmtId="0" fontId="1" fillId="0" borderId="12" xfId="66" applyFont="1" applyBorder="1" applyAlignment="1">
      <alignment vertical="center" wrapText="1"/>
      <protection/>
    </xf>
    <xf numFmtId="0" fontId="7" fillId="33" borderId="12" xfId="66" applyFont="1" applyFill="1" applyBorder="1" applyAlignment="1">
      <alignment horizontal="center" vertical="center" wrapText="1"/>
      <protection/>
    </xf>
    <xf numFmtId="0" fontId="7" fillId="33" borderId="12" xfId="66" applyFont="1" applyFill="1" applyBorder="1" applyAlignment="1">
      <alignment vertical="center" wrapText="1"/>
      <protection/>
    </xf>
    <xf numFmtId="3" fontId="7" fillId="33" borderId="12" xfId="66" applyNumberFormat="1" applyFont="1" applyFill="1" applyBorder="1" applyAlignment="1">
      <alignment horizontal="right" vertical="center" wrapText="1"/>
      <protection/>
    </xf>
    <xf numFmtId="179" fontId="7" fillId="33" borderId="12" xfId="70" applyNumberFormat="1" applyFont="1" applyFill="1" applyBorder="1" applyAlignment="1">
      <alignment horizontal="right" vertical="center" wrapText="1"/>
    </xf>
    <xf numFmtId="0" fontId="32" fillId="33" borderId="0" xfId="66" applyFont="1" applyFill="1">
      <alignment/>
      <protection/>
    </xf>
    <xf numFmtId="3" fontId="7" fillId="33" borderId="12" xfId="70" applyNumberFormat="1" applyFont="1" applyFill="1" applyBorder="1" applyAlignment="1">
      <alignment horizontal="right" vertical="center" wrapText="1"/>
    </xf>
    <xf numFmtId="0" fontId="9" fillId="33" borderId="12" xfId="66" applyFont="1" applyFill="1" applyBorder="1" applyAlignment="1">
      <alignment horizontal="center" vertical="center" wrapText="1"/>
      <protection/>
    </xf>
    <xf numFmtId="0" fontId="9" fillId="33" borderId="12" xfId="66" applyFont="1" applyFill="1" applyBorder="1" applyAlignment="1">
      <alignment vertical="center" wrapText="1"/>
      <protection/>
    </xf>
    <xf numFmtId="3" fontId="9" fillId="33" borderId="12" xfId="66" applyNumberFormat="1" applyFont="1" applyFill="1" applyBorder="1" applyAlignment="1">
      <alignment horizontal="right" vertical="center" wrapText="1"/>
      <protection/>
    </xf>
    <xf numFmtId="3" fontId="9" fillId="33" borderId="12" xfId="66" applyNumberFormat="1" applyFont="1" applyFill="1" applyBorder="1" applyAlignment="1">
      <alignment horizontal="right" vertical="center" wrapText="1"/>
      <protection/>
    </xf>
    <xf numFmtId="3" fontId="9" fillId="33" borderId="12" xfId="70" applyNumberFormat="1" applyFont="1" applyFill="1" applyBorder="1" applyAlignment="1">
      <alignment horizontal="right" vertical="center" wrapText="1"/>
    </xf>
    <xf numFmtId="179" fontId="9" fillId="33" borderId="12" xfId="70" applyNumberFormat="1" applyFont="1" applyFill="1" applyBorder="1" applyAlignment="1">
      <alignment horizontal="right" vertical="center" wrapText="1"/>
    </xf>
    <xf numFmtId="0" fontId="14" fillId="33" borderId="0" xfId="66" applyFont="1" applyFill="1">
      <alignment/>
      <protection/>
    </xf>
    <xf numFmtId="0" fontId="7" fillId="0" borderId="13" xfId="66" applyFont="1" applyBorder="1" applyAlignment="1">
      <alignment vertical="center" wrapText="1"/>
      <protection/>
    </xf>
    <xf numFmtId="3" fontId="7" fillId="0" borderId="13" xfId="66" applyNumberFormat="1" applyFont="1" applyBorder="1" applyAlignment="1">
      <alignment horizontal="right" vertical="center" wrapText="1"/>
      <protection/>
    </xf>
    <xf numFmtId="3" fontId="7" fillId="0" borderId="13" xfId="70" applyNumberFormat="1" applyFont="1" applyBorder="1" applyAlignment="1">
      <alignment horizontal="right" vertical="center" wrapText="1"/>
    </xf>
    <xf numFmtId="179" fontId="7" fillId="0" borderId="13" xfId="70" applyNumberFormat="1" applyFont="1" applyBorder="1" applyAlignment="1">
      <alignment horizontal="right" vertical="center" wrapText="1"/>
    </xf>
    <xf numFmtId="0" fontId="9" fillId="0" borderId="0" xfId="66" applyFont="1" applyAlignment="1">
      <alignment vertical="center"/>
      <protection/>
    </xf>
    <xf numFmtId="0" fontId="9" fillId="0" borderId="0" xfId="66" applyFont="1" applyAlignment="1">
      <alignment horizontal="center" vertical="center" wrapText="1"/>
      <protection/>
    </xf>
    <xf numFmtId="175" fontId="9" fillId="0" borderId="0" xfId="66" applyNumberFormat="1" applyFont="1" applyAlignment="1">
      <alignment horizontal="center" vertical="center" wrapText="1"/>
      <protection/>
    </xf>
    <xf numFmtId="9" fontId="9" fillId="0" borderId="0" xfId="70" applyFont="1" applyAlignment="1">
      <alignment horizontal="center" vertical="center" wrapText="1"/>
    </xf>
    <xf numFmtId="0" fontId="13" fillId="33" borderId="0" xfId="0" applyFont="1" applyFill="1" applyAlignment="1">
      <alignment/>
    </xf>
    <xf numFmtId="0" fontId="13" fillId="33" borderId="0" xfId="0" applyFont="1" applyFill="1" applyAlignment="1">
      <alignment/>
    </xf>
    <xf numFmtId="175" fontId="13" fillId="33" borderId="0" xfId="0" applyNumberFormat="1" applyFont="1" applyFill="1" applyAlignment="1">
      <alignment/>
    </xf>
    <xf numFmtId="0" fontId="5" fillId="33" borderId="0" xfId="0" applyFont="1" applyFill="1" applyAlignment="1">
      <alignment/>
    </xf>
    <xf numFmtId="175" fontId="2" fillId="33" borderId="14" xfId="0" applyNumberFormat="1" applyFont="1" applyFill="1" applyBorder="1" applyAlignment="1">
      <alignment horizontal="right" vertical="center" wrapText="1"/>
    </xf>
    <xf numFmtId="3" fontId="13" fillId="33" borderId="0" xfId="0" applyNumberFormat="1" applyFont="1" applyFill="1" applyAlignment="1">
      <alignment/>
    </xf>
    <xf numFmtId="175" fontId="2" fillId="0" borderId="12" xfId="0" applyNumberFormat="1" applyFont="1" applyBorder="1" applyAlignment="1">
      <alignment horizontal="right" vertical="center" wrapText="1"/>
    </xf>
    <xf numFmtId="0" fontId="19" fillId="33" borderId="0" xfId="0" applyFont="1" applyFill="1" applyAlignment="1">
      <alignment/>
    </xf>
    <xf numFmtId="175" fontId="2" fillId="33" borderId="12" xfId="0" applyNumberFormat="1" applyFont="1" applyFill="1" applyBorder="1" applyAlignment="1">
      <alignment horizontal="right" vertical="center" wrapText="1"/>
    </xf>
    <xf numFmtId="175" fontId="1" fillId="33" borderId="12" xfId="0" applyNumberFormat="1" applyFont="1" applyFill="1" applyBorder="1" applyAlignment="1">
      <alignment horizontal="right" vertical="center" wrapText="1"/>
    </xf>
    <xf numFmtId="175" fontId="2" fillId="33" borderId="12" xfId="0" applyNumberFormat="1" applyFont="1" applyFill="1" applyBorder="1" applyAlignment="1">
      <alignment horizontal="center" vertical="center" wrapText="1"/>
    </xf>
    <xf numFmtId="175" fontId="9" fillId="33" borderId="12" xfId="0" applyNumberFormat="1" applyFont="1" applyFill="1" applyBorder="1" applyAlignment="1">
      <alignment horizontal="right" vertical="center" wrapText="1"/>
    </xf>
    <xf numFmtId="0" fontId="44" fillId="33" borderId="0" xfId="0" applyFont="1" applyFill="1" applyAlignment="1">
      <alignment/>
    </xf>
    <xf numFmtId="0" fontId="45" fillId="33" borderId="0" xfId="0" applyFont="1" applyFill="1" applyAlignment="1">
      <alignment/>
    </xf>
    <xf numFmtId="175" fontId="7" fillId="33" borderId="12" xfId="0" applyNumberFormat="1" applyFont="1" applyFill="1" applyBorder="1" applyAlignment="1">
      <alignment horizontal="right" vertical="center" wrapText="1"/>
    </xf>
    <xf numFmtId="175" fontId="2" fillId="33" borderId="13" xfId="0" applyNumberFormat="1" applyFont="1" applyFill="1" applyBorder="1" applyAlignment="1">
      <alignment horizontal="right" vertical="center" wrapText="1"/>
    </xf>
    <xf numFmtId="0" fontId="1" fillId="33" borderId="0" xfId="0" applyFont="1" applyFill="1" applyAlignment="1">
      <alignment vertical="center"/>
    </xf>
    <xf numFmtId="0" fontId="31" fillId="33" borderId="0" xfId="0" applyFont="1" applyFill="1" applyAlignment="1">
      <alignment/>
    </xf>
    <xf numFmtId="0" fontId="3" fillId="33" borderId="0" xfId="0" applyFont="1" applyFill="1" applyAlignment="1">
      <alignment horizontal="center" vertical="center" wrapText="1"/>
    </xf>
    <xf numFmtId="0" fontId="4" fillId="33" borderId="0" xfId="0" applyFont="1" applyFill="1" applyAlignment="1">
      <alignment vertical="center"/>
    </xf>
    <xf numFmtId="0" fontId="3" fillId="33" borderId="0" xfId="0" applyFont="1" applyFill="1" applyAlignment="1">
      <alignment vertical="center"/>
    </xf>
    <xf numFmtId="0" fontId="7" fillId="33" borderId="10" xfId="0" applyFont="1" applyFill="1" applyBorder="1" applyAlignment="1">
      <alignment horizontal="center" vertical="center" wrapText="1"/>
    </xf>
    <xf numFmtId="3" fontId="2" fillId="33" borderId="13" xfId="0" applyNumberFormat="1" applyFont="1" applyFill="1" applyBorder="1" applyAlignment="1">
      <alignment horizontal="center" vertical="center" wrapText="1"/>
    </xf>
    <xf numFmtId="3" fontId="2" fillId="33" borderId="13" xfId="0" applyNumberFormat="1" applyFont="1" applyFill="1" applyBorder="1" applyAlignment="1">
      <alignment vertical="center" wrapText="1"/>
    </xf>
    <xf numFmtId="3" fontId="2" fillId="33" borderId="13" xfId="0" applyNumberFormat="1" applyFont="1" applyFill="1" applyBorder="1" applyAlignment="1">
      <alignment horizontal="right" vertical="center" wrapText="1"/>
    </xf>
    <xf numFmtId="4" fontId="16" fillId="33" borderId="0" xfId="0" applyNumberFormat="1" applyFont="1" applyFill="1" applyAlignment="1">
      <alignment/>
    </xf>
    <xf numFmtId="3" fontId="9" fillId="33" borderId="12" xfId="0" applyNumberFormat="1" applyFont="1" applyFill="1" applyBorder="1" applyAlignment="1">
      <alignment horizontal="left" vertical="center" wrapText="1"/>
    </xf>
    <xf numFmtId="0" fontId="7" fillId="33" borderId="12" xfId="67" applyFont="1" applyFill="1" applyBorder="1" applyAlignment="1">
      <alignment vertical="center" wrapText="1"/>
      <protection/>
    </xf>
    <xf numFmtId="3" fontId="7" fillId="33" borderId="12" xfId="0" applyNumberFormat="1" applyFont="1" applyFill="1" applyBorder="1" applyAlignment="1">
      <alignment horizontal="left"/>
    </xf>
    <xf numFmtId="3" fontId="9" fillId="33" borderId="12" xfId="0" applyNumberFormat="1" applyFont="1" applyFill="1" applyBorder="1" applyAlignment="1">
      <alignment horizontal="center"/>
    </xf>
    <xf numFmtId="0" fontId="9" fillId="33" borderId="12" xfId="0" applyFont="1" applyFill="1" applyBorder="1" applyAlignment="1">
      <alignment horizontal="justify" vertical="center"/>
    </xf>
    <xf numFmtId="0" fontId="14" fillId="33" borderId="12" xfId="0" applyFont="1" applyFill="1" applyBorder="1" applyAlignment="1">
      <alignment wrapText="1"/>
    </xf>
    <xf numFmtId="3" fontId="9" fillId="33" borderId="12" xfId="0" applyNumberFormat="1" applyFont="1" applyFill="1" applyBorder="1" applyAlignment="1">
      <alignment wrapText="1"/>
    </xf>
    <xf numFmtId="0" fontId="7" fillId="33" borderId="18" xfId="0" applyFont="1" applyFill="1" applyBorder="1" applyAlignment="1">
      <alignment horizontal="center" vertical="center" wrapText="1"/>
    </xf>
    <xf numFmtId="0" fontId="7" fillId="33" borderId="14" xfId="0" applyFont="1" applyFill="1" applyBorder="1" applyAlignment="1">
      <alignment vertical="center" wrapText="1"/>
    </xf>
    <xf numFmtId="3" fontId="7" fillId="33" borderId="14" xfId="0" applyNumberFormat="1" applyFont="1" applyFill="1" applyBorder="1" applyAlignment="1">
      <alignment vertical="center" wrapText="1"/>
    </xf>
    <xf numFmtId="4" fontId="7" fillId="33" borderId="14" xfId="0" applyNumberFormat="1" applyFont="1" applyFill="1" applyBorder="1" applyAlignment="1">
      <alignment vertical="center" wrapText="1"/>
    </xf>
    <xf numFmtId="9" fontId="7" fillId="33" borderId="14" xfId="70" applyFont="1" applyFill="1" applyBorder="1" applyAlignment="1">
      <alignment vertical="center" wrapText="1"/>
    </xf>
    <xf numFmtId="3" fontId="7" fillId="33" borderId="13" xfId="0" applyNumberFormat="1" applyFont="1" applyFill="1" applyBorder="1" applyAlignment="1">
      <alignment vertical="center" wrapText="1"/>
    </xf>
    <xf numFmtId="0" fontId="41" fillId="33" borderId="0" xfId="0" applyFont="1" applyFill="1" applyAlignment="1">
      <alignment vertical="center" wrapText="1"/>
    </xf>
    <xf numFmtId="0" fontId="22" fillId="33" borderId="0" xfId="0" applyFont="1" applyFill="1" applyAlignment="1">
      <alignment vertical="center"/>
    </xf>
    <xf numFmtId="3" fontId="22" fillId="33" borderId="0" xfId="0" applyNumberFormat="1" applyFont="1" applyFill="1" applyAlignment="1">
      <alignment vertical="center"/>
    </xf>
    <xf numFmtId="175" fontId="22" fillId="33" borderId="0" xfId="0" applyNumberFormat="1" applyFont="1" applyFill="1" applyAlignment="1">
      <alignment vertical="center"/>
    </xf>
    <xf numFmtId="0" fontId="8" fillId="33" borderId="19" xfId="0" applyFont="1" applyFill="1" applyBorder="1" applyAlignment="1">
      <alignment vertical="center"/>
    </xf>
    <xf numFmtId="0" fontId="23" fillId="33" borderId="10"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9" fillId="33" borderId="0" xfId="0" applyFont="1" applyFill="1" applyAlignment="1">
      <alignment vertical="center"/>
    </xf>
    <xf numFmtId="3" fontId="23" fillId="33" borderId="10" xfId="0" applyNumberFormat="1"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23" fillId="33" borderId="18" xfId="0" applyFont="1" applyFill="1" applyBorder="1" applyAlignment="1">
      <alignment vertical="center" wrapText="1"/>
    </xf>
    <xf numFmtId="0" fontId="22" fillId="33" borderId="0" xfId="0" applyFont="1" applyFill="1" applyAlignment="1">
      <alignment horizontal="center" vertical="center"/>
    </xf>
    <xf numFmtId="0" fontId="23" fillId="33" borderId="11" xfId="0" applyFont="1" applyFill="1" applyBorder="1" applyAlignment="1">
      <alignment horizontal="center" vertical="center" wrapText="1"/>
    </xf>
    <xf numFmtId="3" fontId="23" fillId="33" borderId="11" xfId="0" applyNumberFormat="1" applyFont="1" applyFill="1" applyBorder="1" applyAlignment="1">
      <alignment horizontal="right" vertical="center" wrapText="1"/>
    </xf>
    <xf numFmtId="4" fontId="23" fillId="33" borderId="11" xfId="0" applyNumberFormat="1" applyFont="1" applyFill="1" applyBorder="1" applyAlignment="1">
      <alignment horizontal="right" vertical="center" wrapText="1"/>
    </xf>
    <xf numFmtId="175" fontId="23" fillId="33" borderId="11" xfId="0" applyNumberFormat="1" applyFont="1" applyFill="1" applyBorder="1" applyAlignment="1">
      <alignment horizontal="right" vertical="center" wrapText="1"/>
    </xf>
    <xf numFmtId="9" fontId="23" fillId="33" borderId="12" xfId="70" applyFont="1" applyFill="1" applyBorder="1" applyAlignment="1">
      <alignment horizontal="right" vertical="center"/>
    </xf>
    <xf numFmtId="175" fontId="23" fillId="33" borderId="11" xfId="0" applyNumberFormat="1" applyFont="1" applyFill="1" applyBorder="1" applyAlignment="1">
      <alignment horizontal="center" vertical="center" wrapText="1"/>
    </xf>
    <xf numFmtId="175" fontId="23" fillId="33" borderId="0" xfId="0" applyNumberFormat="1" applyFont="1" applyFill="1" applyAlignment="1">
      <alignment vertical="center"/>
    </xf>
    <xf numFmtId="0" fontId="23" fillId="33" borderId="0" xfId="0" applyFont="1" applyFill="1" applyAlignment="1">
      <alignment vertical="center"/>
    </xf>
    <xf numFmtId="0" fontId="23" fillId="33" borderId="12" xfId="0" applyFont="1" applyFill="1" applyBorder="1" applyAlignment="1">
      <alignment horizontal="center" vertical="center" wrapText="1"/>
    </xf>
    <xf numFmtId="0" fontId="23" fillId="33" borderId="12" xfId="0" applyFont="1" applyFill="1" applyBorder="1" applyAlignment="1">
      <alignment horizontal="left" vertical="center" wrapText="1"/>
    </xf>
    <xf numFmtId="3" fontId="23" fillId="33" borderId="12" xfId="0" applyNumberFormat="1" applyFont="1" applyFill="1" applyBorder="1" applyAlignment="1">
      <alignment horizontal="right" vertical="center" wrapText="1"/>
    </xf>
    <xf numFmtId="4" fontId="23" fillId="33" borderId="12" xfId="0" applyNumberFormat="1" applyFont="1" applyFill="1" applyBorder="1" applyAlignment="1">
      <alignment horizontal="right" vertical="center" wrapText="1"/>
    </xf>
    <xf numFmtId="175" fontId="23" fillId="33" borderId="12" xfId="0" applyNumberFormat="1" applyFont="1" applyFill="1" applyBorder="1" applyAlignment="1">
      <alignment horizontal="right" vertical="center" wrapText="1"/>
    </xf>
    <xf numFmtId="175" fontId="23" fillId="33" borderId="12" xfId="0" applyNumberFormat="1"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22" fillId="33" borderId="12" xfId="0" applyFont="1" applyFill="1" applyBorder="1" applyAlignment="1">
      <alignment horizontal="left" vertical="center" wrapText="1"/>
    </xf>
    <xf numFmtId="3" fontId="22" fillId="33" borderId="12" xfId="0" applyNumberFormat="1" applyFont="1" applyFill="1" applyBorder="1" applyAlignment="1">
      <alignment horizontal="right" vertical="center" wrapText="1"/>
    </xf>
    <xf numFmtId="3" fontId="14" fillId="33" borderId="12" xfId="42" applyNumberFormat="1" applyFont="1" applyFill="1" applyBorder="1" applyAlignment="1">
      <alignment horizontal="right" vertical="center"/>
    </xf>
    <xf numFmtId="4" fontId="22" fillId="33" borderId="12" xfId="0" applyNumberFormat="1" applyFont="1" applyFill="1" applyBorder="1" applyAlignment="1">
      <alignment horizontal="right" vertical="center" wrapText="1"/>
    </xf>
    <xf numFmtId="175" fontId="22" fillId="33" borderId="12" xfId="0" applyNumberFormat="1" applyFont="1" applyFill="1" applyBorder="1" applyAlignment="1">
      <alignment horizontal="right" vertical="center" wrapText="1"/>
    </xf>
    <xf numFmtId="9" fontId="22" fillId="33" borderId="12" xfId="70" applyFont="1" applyFill="1" applyBorder="1" applyAlignment="1">
      <alignment horizontal="right" vertical="center"/>
    </xf>
    <xf numFmtId="175" fontId="22" fillId="33" borderId="12" xfId="0" applyNumberFormat="1" applyFont="1" applyFill="1" applyBorder="1" applyAlignment="1">
      <alignment horizontal="center" vertical="center" wrapText="1"/>
    </xf>
    <xf numFmtId="175" fontId="22" fillId="33" borderId="21" xfId="0" applyNumberFormat="1" applyFont="1" applyFill="1" applyBorder="1" applyAlignment="1">
      <alignment vertical="center"/>
    </xf>
    <xf numFmtId="0" fontId="22" fillId="33" borderId="21" xfId="0" applyFont="1" applyFill="1" applyBorder="1" applyAlignment="1">
      <alignment vertical="center"/>
    </xf>
    <xf numFmtId="0" fontId="22" fillId="33" borderId="12" xfId="0" applyFont="1" applyFill="1" applyBorder="1" applyAlignment="1">
      <alignment vertical="center" wrapText="1"/>
    </xf>
    <xf numFmtId="3" fontId="22" fillId="33" borderId="12" xfId="42" applyNumberFormat="1" applyFont="1" applyFill="1" applyBorder="1" applyAlignment="1">
      <alignment horizontal="right" vertical="center"/>
    </xf>
    <xf numFmtId="4" fontId="22" fillId="33" borderId="12" xfId="42" applyNumberFormat="1" applyFont="1" applyFill="1" applyBorder="1" applyAlignment="1">
      <alignment horizontal="right" vertical="center"/>
    </xf>
    <xf numFmtId="175" fontId="22" fillId="33" borderId="12" xfId="42" applyNumberFormat="1" applyFont="1" applyFill="1" applyBorder="1" applyAlignment="1">
      <alignment horizontal="right" vertical="center"/>
    </xf>
    <xf numFmtId="9" fontId="22" fillId="33" borderId="12" xfId="70" applyFont="1" applyFill="1" applyBorder="1" applyAlignment="1">
      <alignment vertical="center"/>
    </xf>
    <xf numFmtId="0" fontId="22" fillId="33" borderId="22" xfId="0" applyFont="1" applyFill="1" applyBorder="1" applyAlignment="1">
      <alignment vertical="center"/>
    </xf>
    <xf numFmtId="0" fontId="14" fillId="33" borderId="22" xfId="0" applyFont="1" applyFill="1" applyBorder="1" applyAlignment="1">
      <alignment vertical="center"/>
    </xf>
    <xf numFmtId="0" fontId="22" fillId="33" borderId="12" xfId="0" applyFont="1" applyFill="1" applyBorder="1" applyAlignment="1">
      <alignment vertical="center"/>
    </xf>
    <xf numFmtId="0" fontId="34" fillId="33" borderId="12" xfId="0" applyFont="1" applyFill="1" applyBorder="1" applyAlignment="1">
      <alignment vertical="center"/>
    </xf>
    <xf numFmtId="0" fontId="34" fillId="33" borderId="12" xfId="0" applyFont="1" applyFill="1" applyBorder="1" applyAlignment="1">
      <alignment horizontal="left" vertical="center"/>
    </xf>
    <xf numFmtId="3" fontId="14" fillId="33" borderId="12" xfId="0" applyNumberFormat="1" applyFont="1" applyFill="1" applyBorder="1" applyAlignment="1">
      <alignment horizontal="right" vertical="center"/>
    </xf>
    <xf numFmtId="0" fontId="23" fillId="33" borderId="12" xfId="0" applyFont="1" applyFill="1" applyBorder="1" applyAlignment="1">
      <alignment vertical="center" wrapText="1"/>
    </xf>
    <xf numFmtId="3" fontId="23" fillId="33" borderId="12" xfId="42" applyNumberFormat="1" applyFont="1" applyFill="1" applyBorder="1" applyAlignment="1">
      <alignment horizontal="right" vertical="center"/>
    </xf>
    <xf numFmtId="4" fontId="23" fillId="33" borderId="12" xfId="42" applyNumberFormat="1" applyFont="1" applyFill="1" applyBorder="1" applyAlignment="1">
      <alignment horizontal="right" vertical="center"/>
    </xf>
    <xf numFmtId="175" fontId="23" fillId="33" borderId="12" xfId="42" applyNumberFormat="1" applyFont="1" applyFill="1" applyBorder="1" applyAlignment="1">
      <alignment horizontal="right" vertical="center"/>
    </xf>
    <xf numFmtId="9" fontId="23" fillId="33" borderId="12" xfId="70" applyFont="1" applyFill="1" applyBorder="1" applyAlignment="1">
      <alignment vertical="center"/>
    </xf>
    <xf numFmtId="0" fontId="23" fillId="33" borderId="22" xfId="0" applyFont="1" applyFill="1" applyBorder="1" applyAlignment="1">
      <alignment vertical="center"/>
    </xf>
    <xf numFmtId="3" fontId="32" fillId="33" borderId="12" xfId="0" applyNumberFormat="1" applyFont="1" applyFill="1" applyBorder="1" applyAlignment="1">
      <alignment horizontal="right"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wrapText="1"/>
    </xf>
    <xf numFmtId="0" fontId="22" fillId="33" borderId="13" xfId="0" applyFont="1" applyFill="1" applyBorder="1" applyAlignment="1">
      <alignment vertical="center" wrapText="1"/>
    </xf>
    <xf numFmtId="175" fontId="22" fillId="33" borderId="13" xfId="42" applyNumberFormat="1" applyFont="1" applyFill="1" applyBorder="1" applyAlignment="1">
      <alignment vertical="center"/>
    </xf>
    <xf numFmtId="3" fontId="22" fillId="33" borderId="13" xfId="42" applyNumberFormat="1" applyFont="1" applyFill="1" applyBorder="1" applyAlignment="1">
      <alignment vertical="center"/>
    </xf>
    <xf numFmtId="4" fontId="22" fillId="33" borderId="13" xfId="42" applyNumberFormat="1" applyFont="1" applyFill="1" applyBorder="1" applyAlignment="1">
      <alignment vertical="center"/>
    </xf>
    <xf numFmtId="9" fontId="22" fillId="33" borderId="13" xfId="70" applyFont="1" applyFill="1" applyBorder="1" applyAlignment="1">
      <alignment vertical="center"/>
    </xf>
    <xf numFmtId="0" fontId="22" fillId="33" borderId="23" xfId="0" applyFont="1" applyFill="1" applyBorder="1" applyAlignment="1">
      <alignment vertical="center"/>
    </xf>
    <xf numFmtId="0" fontId="9" fillId="0" borderId="0" xfId="66" applyFont="1" applyAlignment="1">
      <alignment horizontal="center" vertical="center"/>
      <protection/>
    </xf>
    <xf numFmtId="0" fontId="8" fillId="0" borderId="0" xfId="66" applyFont="1" applyAlignment="1">
      <alignment horizontal="center" vertical="center" wrapText="1"/>
      <protection/>
    </xf>
    <xf numFmtId="4" fontId="8" fillId="0" borderId="0" xfId="66" applyNumberFormat="1" applyFont="1" applyAlignment="1">
      <alignment horizontal="center" vertical="center" wrapText="1"/>
      <protection/>
    </xf>
    <xf numFmtId="0" fontId="7" fillId="0" borderId="0" xfId="66" applyFont="1" applyAlignment="1">
      <alignment horizontal="center" vertical="center" wrapText="1"/>
      <protection/>
    </xf>
    <xf numFmtId="175" fontId="7" fillId="0" borderId="24" xfId="66" applyNumberFormat="1" applyFont="1" applyBorder="1" applyAlignment="1">
      <alignment horizontal="center" vertical="center" wrapText="1"/>
      <protection/>
    </xf>
    <xf numFmtId="175" fontId="7" fillId="0" borderId="25" xfId="66" applyNumberFormat="1" applyFont="1" applyBorder="1" applyAlignment="1">
      <alignment horizontal="center" vertical="center" wrapText="1"/>
      <protection/>
    </xf>
    <xf numFmtId="9" fontId="7" fillId="0" borderId="10" xfId="70" applyFont="1" applyBorder="1" applyAlignment="1">
      <alignment horizontal="center" vertical="center" wrapText="1"/>
    </xf>
    <xf numFmtId="0" fontId="9" fillId="0" borderId="0" xfId="66" applyFont="1" applyAlignment="1">
      <alignment horizontal="center" vertical="center" wrapText="1"/>
      <protection/>
    </xf>
    <xf numFmtId="4" fontId="9" fillId="0" borderId="0" xfId="66" applyNumberFormat="1" applyFont="1" applyAlignment="1">
      <alignment horizontal="center" vertical="center" wrapText="1"/>
      <protection/>
    </xf>
    <xf numFmtId="9" fontId="7" fillId="0" borderId="24" xfId="70" applyFont="1" applyBorder="1" applyAlignment="1">
      <alignment horizontal="center" vertical="center" wrapText="1"/>
    </xf>
    <xf numFmtId="9" fontId="7" fillId="0" borderId="25" xfId="70" applyFont="1" applyBorder="1" applyAlignment="1">
      <alignment horizontal="center" vertical="center" wrapText="1"/>
    </xf>
    <xf numFmtId="4" fontId="7" fillId="0" borderId="0" xfId="66" applyNumberFormat="1" applyFont="1" applyAlignment="1">
      <alignment horizontal="center" vertical="center" wrapText="1"/>
      <protection/>
    </xf>
    <xf numFmtId="0" fontId="7" fillId="33" borderId="0" xfId="0" applyFont="1" applyFill="1" applyAlignment="1">
      <alignment horizontal="center" vertical="center"/>
    </xf>
    <xf numFmtId="9" fontId="7" fillId="0" borderId="0" xfId="70" applyFont="1" applyAlignment="1">
      <alignment horizontal="right" vertical="center"/>
    </xf>
    <xf numFmtId="0" fontId="25" fillId="0" borderId="0" xfId="66" applyFont="1" applyAlignment="1">
      <alignment horizontal="center" vertical="center"/>
      <protection/>
    </xf>
    <xf numFmtId="0" fontId="8" fillId="0" borderId="0" xfId="66" applyFont="1" applyAlignment="1">
      <alignment horizontal="center" vertical="center"/>
      <protection/>
    </xf>
    <xf numFmtId="0" fontId="3" fillId="0" borderId="19" xfId="66" applyFont="1" applyBorder="1" applyAlignment="1">
      <alignment horizontal="right" vertical="center"/>
      <protection/>
    </xf>
    <xf numFmtId="0" fontId="7" fillId="0" borderId="11" xfId="66" applyFont="1" applyBorder="1" applyAlignment="1">
      <alignment horizontal="center" vertical="center" wrapText="1"/>
      <protection/>
    </xf>
    <xf numFmtId="0" fontId="7" fillId="0" borderId="13" xfId="66" applyFont="1" applyBorder="1" applyAlignment="1">
      <alignment horizontal="center" vertical="center" wrapText="1"/>
      <protection/>
    </xf>
    <xf numFmtId="175" fontId="7" fillId="0" borderId="11" xfId="66" applyNumberFormat="1" applyFont="1" applyBorder="1" applyAlignment="1">
      <alignment horizontal="center" vertical="center" wrapText="1"/>
      <protection/>
    </xf>
    <xf numFmtId="175" fontId="7" fillId="0" borderId="13" xfId="66" applyNumberFormat="1" applyFont="1" applyBorder="1" applyAlignment="1">
      <alignment horizontal="center" vertical="center" wrapText="1"/>
      <protection/>
    </xf>
    <xf numFmtId="0" fontId="3" fillId="33" borderId="0" xfId="0" applyFont="1" applyFill="1" applyAlignment="1">
      <alignment horizontal="center" vertical="center" wrapText="1"/>
    </xf>
    <xf numFmtId="0" fontId="33" fillId="33" borderId="0" xfId="0" applyFont="1" applyFill="1" applyAlignment="1">
      <alignment horizontal="center" vertical="center" wrapText="1"/>
    </xf>
    <xf numFmtId="0" fontId="33" fillId="0" borderId="0" xfId="66" applyFont="1" applyAlignment="1">
      <alignment horizontal="center" vertical="center" wrapText="1"/>
      <protection/>
    </xf>
    <xf numFmtId="0" fontId="21" fillId="33" borderId="0" xfId="0" applyFont="1" applyFill="1" applyAlignment="1">
      <alignment horizontal="center" vertical="center" wrapText="1"/>
    </xf>
    <xf numFmtId="0" fontId="25" fillId="0" borderId="0" xfId="66" applyFont="1" applyAlignment="1">
      <alignment horizontal="center" vertical="center" wrapText="1"/>
      <protection/>
    </xf>
    <xf numFmtId="0" fontId="20" fillId="33" borderId="0" xfId="0" applyFont="1" applyFill="1" applyAlignment="1">
      <alignment horizontal="center" vertical="center"/>
    </xf>
    <xf numFmtId="0" fontId="2" fillId="33" borderId="0" xfId="0" applyFont="1" applyFill="1" applyAlignment="1">
      <alignment horizontal="center" vertical="center"/>
    </xf>
    <xf numFmtId="0" fontId="21" fillId="33" borderId="0" xfId="0" applyFont="1" applyFill="1" applyAlignment="1">
      <alignment horizontal="center" vertical="center"/>
    </xf>
    <xf numFmtId="0" fontId="3" fillId="33" borderId="0" xfId="0" applyFont="1" applyFill="1" applyAlignment="1">
      <alignment horizontal="center" vertical="center"/>
    </xf>
    <xf numFmtId="0" fontId="2" fillId="33" borderId="10" xfId="0" applyFont="1" applyFill="1" applyBorder="1" applyAlignment="1">
      <alignment horizontal="center" vertical="center" wrapText="1"/>
    </xf>
    <xf numFmtId="0" fontId="21" fillId="0" borderId="0" xfId="0" applyFont="1" applyAlignment="1">
      <alignment horizontal="center" vertical="center" wrapText="1"/>
    </xf>
    <xf numFmtId="0" fontId="4" fillId="33" borderId="26" xfId="0" applyFont="1" applyFill="1" applyBorder="1" applyAlignment="1">
      <alignment horizontal="left" vertical="center" wrapText="1"/>
    </xf>
    <xf numFmtId="0" fontId="20" fillId="33" borderId="0" xfId="0" applyFont="1" applyFill="1" applyAlignment="1">
      <alignment horizontal="center" vertical="center" wrapText="1"/>
    </xf>
    <xf numFmtId="0" fontId="3" fillId="33" borderId="19" xfId="0" applyFont="1" applyFill="1" applyBorder="1" applyAlignment="1">
      <alignment horizontal="right" vertical="center"/>
    </xf>
    <xf numFmtId="0" fontId="1" fillId="33" borderId="0" xfId="0" applyFont="1" applyFill="1" applyAlignment="1">
      <alignment horizontal="left" vertical="center" wrapText="1"/>
    </xf>
    <xf numFmtId="3" fontId="1" fillId="33" borderId="12" xfId="0" applyNumberFormat="1" applyFont="1" applyFill="1" applyBorder="1" applyAlignment="1">
      <alignment horizontal="right" vertical="center" wrapText="1"/>
    </xf>
    <xf numFmtId="0" fontId="26" fillId="33" borderId="0" xfId="0" applyFont="1" applyFill="1" applyBorder="1" applyAlignment="1">
      <alignment horizontal="left" vertical="center" wrapText="1"/>
    </xf>
    <xf numFmtId="0" fontId="25" fillId="33" borderId="0" xfId="0" applyFont="1" applyFill="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0" borderId="0" xfId="0" applyFont="1" applyAlignment="1">
      <alignment horizontal="right" vertical="center"/>
    </xf>
    <xf numFmtId="0" fontId="3" fillId="0" borderId="19" xfId="0" applyFont="1" applyBorder="1" applyAlignment="1">
      <alignment horizontal="right"/>
    </xf>
    <xf numFmtId="0" fontId="14" fillId="33" borderId="10" xfId="0" applyFont="1" applyFill="1" applyBorder="1" applyAlignment="1">
      <alignment horizontal="center"/>
    </xf>
    <xf numFmtId="0" fontId="7" fillId="33" borderId="10" xfId="0" applyFont="1" applyFill="1" applyBorder="1" applyAlignment="1">
      <alignment horizontal="center" vertical="center" wrapText="1"/>
    </xf>
    <xf numFmtId="0" fontId="7" fillId="33" borderId="0" xfId="0" applyFont="1" applyFill="1" applyAlignment="1">
      <alignment horizontal="right" vertical="center"/>
    </xf>
    <xf numFmtId="0" fontId="27" fillId="33" borderId="0" xfId="0" applyFont="1" applyFill="1" applyAlignment="1">
      <alignment horizontal="center" vertical="center" wrapText="1"/>
    </xf>
    <xf numFmtId="0" fontId="8" fillId="33" borderId="19" xfId="0" applyFont="1" applyFill="1" applyBorder="1" applyAlignment="1">
      <alignment horizontal="center" vertical="center"/>
    </xf>
    <xf numFmtId="0" fontId="41" fillId="33" borderId="0" xfId="0" applyFont="1" applyFill="1" applyAlignment="1">
      <alignment horizontal="center" vertical="center" wrapText="1"/>
    </xf>
    <xf numFmtId="3" fontId="14" fillId="33" borderId="10" xfId="0" applyNumberFormat="1" applyFont="1" applyFill="1" applyBorder="1" applyAlignment="1">
      <alignment horizontal="center"/>
    </xf>
    <xf numFmtId="0" fontId="23" fillId="33" borderId="27" xfId="0"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0" xfId="0" applyFont="1" applyFill="1" applyBorder="1" applyAlignment="1">
      <alignment horizontal="center" vertical="center" wrapText="1"/>
    </xf>
    <xf numFmtId="3" fontId="23" fillId="33" borderId="27" xfId="0" applyNumberFormat="1" applyFont="1" applyFill="1" applyBorder="1" applyAlignment="1">
      <alignment horizontal="center" vertical="center" wrapText="1"/>
    </xf>
    <xf numFmtId="3" fontId="23" fillId="33" borderId="18" xfId="0" applyNumberFormat="1" applyFont="1" applyFill="1" applyBorder="1" applyAlignment="1">
      <alignment horizontal="center" vertical="center" wrapText="1"/>
    </xf>
    <xf numFmtId="0" fontId="23" fillId="33" borderId="28"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23" fillId="33" borderId="20" xfId="0" applyFont="1" applyFill="1" applyBorder="1" applyAlignment="1">
      <alignment horizontal="center" vertical="center" wrapText="1"/>
    </xf>
    <xf numFmtId="3" fontId="23" fillId="33" borderId="10" xfId="0" applyNumberFormat="1" applyFont="1" applyFill="1" applyBorder="1" applyAlignment="1">
      <alignment horizontal="center" vertical="center" wrapText="1"/>
    </xf>
    <xf numFmtId="175" fontId="2" fillId="33" borderId="10" xfId="0" applyNumberFormat="1" applyFont="1" applyFill="1" applyBorder="1" applyAlignment="1">
      <alignment horizontal="center" vertical="center" wrapText="1"/>
    </xf>
    <xf numFmtId="9"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33" borderId="27" xfId="0" applyNumberFormat="1" applyFont="1" applyFill="1" applyBorder="1" applyAlignment="1">
      <alignment horizontal="center" vertical="center" wrapText="1"/>
    </xf>
    <xf numFmtId="3" fontId="2" fillId="33" borderId="30" xfId="0" applyNumberFormat="1" applyFont="1" applyFill="1" applyBorder="1" applyAlignment="1">
      <alignment horizontal="center" vertical="center" wrapText="1"/>
    </xf>
    <xf numFmtId="3" fontId="2" fillId="33" borderId="18" xfId="0" applyNumberFormat="1" applyFont="1" applyFill="1" applyBorder="1" applyAlignment="1">
      <alignment horizontal="center" vertical="center" wrapText="1"/>
    </xf>
    <xf numFmtId="175" fontId="2" fillId="33" borderId="27" xfId="0" applyNumberFormat="1" applyFont="1" applyFill="1" applyBorder="1" applyAlignment="1">
      <alignment horizontal="center" vertical="center" wrapText="1"/>
    </xf>
    <xf numFmtId="175" fontId="2" fillId="33" borderId="30" xfId="0" applyNumberFormat="1" applyFont="1" applyFill="1" applyBorder="1" applyAlignment="1">
      <alignment horizontal="center" vertical="center" wrapText="1"/>
    </xf>
    <xf numFmtId="175" fontId="2" fillId="33" borderId="18" xfId="0" applyNumberFormat="1" applyFont="1" applyFill="1" applyBorder="1" applyAlignment="1">
      <alignment horizontal="center" vertical="center" wrapText="1"/>
    </xf>
    <xf numFmtId="175" fontId="7" fillId="33" borderId="10" xfId="0" applyNumberFormat="1" applyFont="1" applyFill="1" applyBorder="1" applyAlignment="1">
      <alignment horizontal="center" vertical="center" wrapText="1"/>
    </xf>
    <xf numFmtId="175" fontId="17" fillId="33" borderId="10" xfId="0" applyNumberFormat="1" applyFont="1" applyFill="1" applyBorder="1" applyAlignment="1">
      <alignment horizontal="center" vertical="center" wrapText="1"/>
    </xf>
    <xf numFmtId="3" fontId="17" fillId="33" borderId="24" xfId="0" applyNumberFormat="1" applyFont="1" applyFill="1" applyBorder="1" applyAlignment="1">
      <alignment horizontal="center" vertical="center" wrapText="1"/>
    </xf>
    <xf numFmtId="3" fontId="17" fillId="33" borderId="31" xfId="0" applyNumberFormat="1" applyFont="1" applyFill="1" applyBorder="1" applyAlignment="1">
      <alignment horizontal="center" vertical="center" wrapText="1"/>
    </xf>
    <xf numFmtId="3" fontId="17" fillId="33" borderId="32" xfId="0" applyNumberFormat="1" applyFont="1" applyFill="1" applyBorder="1" applyAlignment="1">
      <alignment horizontal="center" vertical="center" wrapText="1"/>
    </xf>
    <xf numFmtId="3" fontId="17" fillId="33" borderId="33" xfId="0" applyNumberFormat="1" applyFont="1" applyFill="1" applyBorder="1" applyAlignment="1">
      <alignment horizontal="center" vertical="center" wrapText="1"/>
    </xf>
    <xf numFmtId="9" fontId="3" fillId="33" borderId="19" xfId="0" applyNumberFormat="1" applyFont="1" applyFill="1" applyBorder="1" applyAlignment="1">
      <alignment horizontal="center" vertical="center"/>
    </xf>
    <xf numFmtId="9" fontId="2" fillId="33" borderId="0" xfId="0" applyNumberFormat="1" applyFont="1" applyFill="1" applyAlignment="1">
      <alignment horizontal="right" vertical="center"/>
    </xf>
    <xf numFmtId="9" fontId="2" fillId="33" borderId="27" xfId="0" applyNumberFormat="1" applyFont="1" applyFill="1" applyBorder="1" applyAlignment="1">
      <alignment horizontal="center" vertical="center" wrapText="1"/>
    </xf>
    <xf numFmtId="9" fontId="2" fillId="33" borderId="30"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17" fillId="33" borderId="24" xfId="0" applyNumberFormat="1" applyFont="1" applyFill="1" applyBorder="1" applyAlignment="1">
      <alignment horizontal="center" vertical="center" wrapText="1"/>
    </xf>
    <xf numFmtId="9" fontId="17" fillId="33" borderId="31" xfId="0" applyNumberFormat="1" applyFont="1" applyFill="1" applyBorder="1" applyAlignment="1">
      <alignment horizontal="center" vertical="center" wrapText="1"/>
    </xf>
    <xf numFmtId="9" fontId="17" fillId="33" borderId="32" xfId="0" applyNumberFormat="1" applyFont="1" applyFill="1" applyBorder="1" applyAlignment="1">
      <alignment horizontal="center" vertical="center" wrapText="1"/>
    </xf>
    <xf numFmtId="9" fontId="17" fillId="33" borderId="33" xfId="0" applyNumberFormat="1" applyFont="1" applyFill="1" applyBorder="1" applyAlignment="1">
      <alignment horizontal="center" vertical="center" wrapText="1"/>
    </xf>
    <xf numFmtId="0" fontId="35" fillId="33" borderId="0" xfId="0" applyFont="1" applyFill="1" applyAlignment="1">
      <alignment horizontal="center" vertical="center" wrapText="1"/>
    </xf>
    <xf numFmtId="0" fontId="42" fillId="33" borderId="0" xfId="0" applyFont="1" applyFill="1" applyAlignment="1">
      <alignment horizontal="center" vertical="center" wrapText="1"/>
    </xf>
    <xf numFmtId="0" fontId="2" fillId="0" borderId="0" xfId="0" applyFont="1" applyAlignment="1">
      <alignment horizontal="center" vertical="center"/>
    </xf>
    <xf numFmtId="0" fontId="3" fillId="0" borderId="19" xfId="0" applyFont="1" applyBorder="1" applyAlignment="1">
      <alignment horizontal="center" vertical="center"/>
    </xf>
    <xf numFmtId="0" fontId="2" fillId="0" borderId="10" xfId="0" applyFont="1" applyBorder="1" applyAlignment="1">
      <alignment horizontal="center" vertical="center" wrapText="1"/>
    </xf>
    <xf numFmtId="0" fontId="33" fillId="0" borderId="0" xfId="0" applyFont="1" applyAlignment="1">
      <alignment horizontal="center" vertical="center" wrapText="1"/>
    </xf>
  </cellXfs>
  <cellStyles count="64">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omma 14" xfId="44"/>
    <cellStyle name="Comma 2" xfId="45"/>
    <cellStyle name="Currency" xfId="46"/>
    <cellStyle name="Currency [0]" xfId="47"/>
    <cellStyle name="Check Cell"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0 2 2" xfId="60"/>
    <cellStyle name="Normal 13" xfId="61"/>
    <cellStyle name="Normal 16 2" xfId="62"/>
    <cellStyle name="Normal 2" xfId="63"/>
    <cellStyle name="Normal 3" xfId="64"/>
    <cellStyle name="Normal 7" xfId="65"/>
    <cellStyle name="Normal_mẫu biểu theo TT342" xfId="66"/>
    <cellStyle name="Normal_Phan bo CTMT QG GNBV 2017" xfId="67"/>
    <cellStyle name="Note" xfId="68"/>
    <cellStyle name="Output" xfId="69"/>
    <cellStyle name="Percent" xfId="70"/>
    <cellStyle name="Style 1" xfId="71"/>
    <cellStyle name="Style 1 2 2" xfId="72"/>
    <cellStyle name="Style 1 3" xfId="73"/>
    <cellStyle name="Style 1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Google%20Drive\Bao%20cao%20trinh%20HDND%20tinh\Nam%202019\Ky%20hop%20thu%2010\Quyet%20toan%20bo%20sung\Du%20thao\T&#7853;p%20quy&#7871;t%20to&#225;n%20%20b&#7893;%20sung%202017%20g&#7917;i%20UBND%20(18-04-2019)\Ph&#242;ng%20QLNS\Bieu%20mau%20Nghi%20dinh%2031-2017(y&#7871;n%20g&#7917;i%2016-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Google%20Drive\Bao%20cao%20trinh%20HDND%20tinh\Nam%202019\Ky%20hop%20thu%2010\Quyet%20toan%20bo%20sung\Du%20thao\T&#7853;p%20quy&#7871;t%20to&#225;n%20%20b&#7893;%20sung%202017%20g&#7917;i%20UBND%20(18-04-2019)\Bi&#7875;u%20%20k&#232;m%20theo%20d&#7921;%20th&#7843;o%20b&#225;o%20c&#225;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61"/>
      <sheetName val="40"/>
      <sheetName val="48"/>
      <sheetName val="49"/>
      <sheetName val="50"/>
    </sheetNames>
    <sheetDataSet>
      <sheetData sheetId="0">
        <row r="13">
          <cell r="B13" t="str">
            <v>- Thuế giá trị gia tăng</v>
          </cell>
          <cell r="C13">
            <v>92370</v>
          </cell>
          <cell r="E13">
            <v>60625.4431</v>
          </cell>
        </row>
        <row r="15">
          <cell r="B15" t="str">
            <v>- Thuế thu nhập doanh nghiệp</v>
          </cell>
          <cell r="C15">
            <v>6100</v>
          </cell>
          <cell r="E15">
            <v>8700.814715999999</v>
          </cell>
        </row>
        <row r="16">
          <cell r="B16" t="str">
            <v>- Thuế tiêu thụ đặc biệt</v>
          </cell>
          <cell r="C16">
            <v>30</v>
          </cell>
          <cell r="E16">
            <v>0</v>
          </cell>
        </row>
        <row r="18">
          <cell r="B18" t="str">
            <v>- Thuế tài nguyên</v>
          </cell>
          <cell r="C18">
            <v>144500</v>
          </cell>
          <cell r="E18">
            <v>178517.16439199998</v>
          </cell>
        </row>
        <row r="20">
          <cell r="B20" t="str">
            <v> - Thuế môn bài</v>
          </cell>
          <cell r="E20">
            <v>1.5</v>
          </cell>
        </row>
        <row r="21">
          <cell r="B21" t="str">
            <v> - Thu hồi vốn và thu khác</v>
          </cell>
          <cell r="E21">
            <v>99.98081499999999</v>
          </cell>
          <cell r="F21">
            <v>33.364661</v>
          </cell>
        </row>
        <row r="30">
          <cell r="B30" t="str">
            <v>- Thuế giá trị gia tăng</v>
          </cell>
          <cell r="C30">
            <v>100</v>
          </cell>
          <cell r="E30">
            <v>159.508224</v>
          </cell>
        </row>
        <row r="42">
          <cell r="B42" t="str">
            <v>- Thuế giá trị gia tăng</v>
          </cell>
          <cell r="C42">
            <v>348480</v>
          </cell>
          <cell r="E42">
            <v>265287.247423</v>
          </cell>
        </row>
        <row r="43">
          <cell r="B43" t="str">
            <v>- Thuế thu nhập doanh nghiệp</v>
          </cell>
          <cell r="C43">
            <v>11100</v>
          </cell>
          <cell r="E43">
            <v>21690.325709999997</v>
          </cell>
        </row>
        <row r="44">
          <cell r="B44" t="str">
            <v>- Thuế tiêu thụ đặc biệt</v>
          </cell>
          <cell r="C44">
            <v>220</v>
          </cell>
          <cell r="E44">
            <v>237.833767</v>
          </cell>
        </row>
        <row r="46">
          <cell r="B46" t="str">
            <v>- Thuế tài nguyên</v>
          </cell>
          <cell r="C46">
            <v>29300</v>
          </cell>
          <cell r="E46">
            <v>47163.438202</v>
          </cell>
        </row>
        <row r="47">
          <cell r="B47" t="str">
            <v> - Thuế môn bài</v>
          </cell>
          <cell r="E47">
            <v>94.3</v>
          </cell>
        </row>
        <row r="48">
          <cell r="B48" t="str">
            <v> - Các khoản thu khác ngoài quốc doanh</v>
          </cell>
          <cell r="E48">
            <v>2381.330163</v>
          </cell>
          <cell r="F48">
            <v>195.632126</v>
          </cell>
        </row>
        <row r="50">
          <cell r="C50">
            <v>80000</v>
          </cell>
          <cell r="E50">
            <v>54590.204152</v>
          </cell>
        </row>
        <row r="52">
          <cell r="C52">
            <v>1000</v>
          </cell>
          <cell r="E52">
            <v>2371.507433</v>
          </cell>
        </row>
        <row r="53">
          <cell r="C53">
            <v>43000</v>
          </cell>
          <cell r="E53">
            <v>37369.413817</v>
          </cell>
          <cell r="F53">
            <v>6.321679</v>
          </cell>
        </row>
        <row r="54">
          <cell r="C54">
            <v>129000</v>
          </cell>
          <cell r="E54">
            <v>133364.70802999998</v>
          </cell>
        </row>
        <row r="55">
          <cell r="C55">
            <v>81000</v>
          </cell>
          <cell r="E55">
            <v>83667.268438</v>
          </cell>
        </row>
        <row r="56">
          <cell r="C56">
            <v>48000</v>
          </cell>
          <cell r="E56">
            <v>49697.439592</v>
          </cell>
        </row>
        <row r="57">
          <cell r="C57">
            <v>25000</v>
          </cell>
          <cell r="E57">
            <v>33885.305347</v>
          </cell>
          <cell r="F57">
            <v>5657.604658</v>
          </cell>
          <cell r="G57">
            <v>6944.81184</v>
          </cell>
          <cell r="H57">
            <v>14893.268509</v>
          </cell>
          <cell r="I57">
            <v>6389.62034</v>
          </cell>
        </row>
        <row r="59">
          <cell r="C59">
            <v>25000</v>
          </cell>
        </row>
        <row r="61">
          <cell r="C61">
            <v>60000</v>
          </cell>
          <cell r="E61">
            <v>123242.338632</v>
          </cell>
        </row>
        <row r="64">
          <cell r="C64">
            <v>22000</v>
          </cell>
          <cell r="E64">
            <v>27229.219323999998</v>
          </cell>
        </row>
        <row r="74">
          <cell r="C74">
            <v>500</v>
          </cell>
          <cell r="E74">
            <v>783.3</v>
          </cell>
        </row>
        <row r="75">
          <cell r="C75">
            <v>13500</v>
          </cell>
          <cell r="E75">
            <v>42002.862809</v>
          </cell>
          <cell r="F75">
            <v>15379.976041</v>
          </cell>
        </row>
        <row r="76">
          <cell r="C76">
            <v>8500</v>
          </cell>
        </row>
        <row r="77">
          <cell r="C77">
            <v>10000</v>
          </cell>
          <cell r="E77">
            <v>6989.2988000000005</v>
          </cell>
        </row>
        <row r="80">
          <cell r="C80">
            <v>3800</v>
          </cell>
          <cell r="E80">
            <v>3796.030826</v>
          </cell>
        </row>
        <row r="82">
          <cell r="C82">
            <v>17000</v>
          </cell>
          <cell r="E82">
            <v>23352.846653</v>
          </cell>
        </row>
        <row r="96">
          <cell r="C96">
            <v>500</v>
          </cell>
          <cell r="F96">
            <v>1574.620421</v>
          </cell>
        </row>
        <row r="97">
          <cell r="E97">
            <v>9.062</v>
          </cell>
        </row>
        <row r="98">
          <cell r="C98">
            <v>15000</v>
          </cell>
          <cell r="E98">
            <v>14357.785535</v>
          </cell>
        </row>
        <row r="102">
          <cell r="E102">
            <v>0.1</v>
          </cell>
        </row>
        <row r="103">
          <cell r="E103">
            <v>128.732822</v>
          </cell>
        </row>
        <row r="104">
          <cell r="E104">
            <v>19372.441975</v>
          </cell>
        </row>
        <row r="105">
          <cell r="B105" t="str">
            <v>Các khoản huy động, đóng góp</v>
          </cell>
          <cell r="E105">
            <v>14170.317762</v>
          </cell>
        </row>
        <row r="128">
          <cell r="E128">
            <v>1491470.7186560002</v>
          </cell>
        </row>
        <row r="129">
          <cell r="E129">
            <v>3688.605115</v>
          </cell>
        </row>
      </sheetData>
      <sheetData sheetId="4">
        <row r="12">
          <cell r="E12">
            <v>60625.4431</v>
          </cell>
        </row>
        <row r="13">
          <cell r="E13">
            <v>8700.814715999999</v>
          </cell>
        </row>
        <row r="14">
          <cell r="E14">
            <v>0</v>
          </cell>
        </row>
        <row r="15">
          <cell r="E15">
            <v>178517.16439199998</v>
          </cell>
        </row>
        <row r="16">
          <cell r="E16">
            <v>1.5</v>
          </cell>
        </row>
        <row r="41">
          <cell r="E41">
            <v>783.3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ểu số 1"/>
      <sheetName val="Biểu số 2"/>
      <sheetName val="Biểu số 3"/>
      <sheetName val="Biểu số 4"/>
      <sheetName val="Biểu số 5"/>
      <sheetName val="Biểu số 6"/>
      <sheetName val="Biểu số 7"/>
      <sheetName val="48"/>
      <sheetName val="49"/>
      <sheetName val="50"/>
      <sheetName val="51"/>
      <sheetName val="52"/>
      <sheetName val="53"/>
      <sheetName val="54"/>
      <sheetName val="56"/>
      <sheetName val="57"/>
      <sheetName val="58"/>
      <sheetName val="59"/>
      <sheetName val="60"/>
    </sheetNames>
    <sheetDataSet>
      <sheetData sheetId="7">
        <row r="20">
          <cell r="D20">
            <v>10503034.180443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3"/>
  </sheetPr>
  <dimension ref="A1:G86"/>
  <sheetViews>
    <sheetView zoomScalePageLayoutView="0" workbookViewId="0" topLeftCell="A1">
      <selection activeCell="C7" sqref="C7:C8"/>
    </sheetView>
  </sheetViews>
  <sheetFormatPr defaultColWidth="9.140625" defaultRowHeight="15"/>
  <cols>
    <col min="1" max="1" width="6.28125" style="178" customWidth="1"/>
    <col min="2" max="2" width="49.8515625" style="178" customWidth="1"/>
    <col min="3" max="3" width="18.421875" style="179" customWidth="1"/>
    <col min="4" max="4" width="17.421875" style="179" customWidth="1"/>
    <col min="5" max="5" width="18.8515625" style="180" customWidth="1"/>
    <col min="6" max="6" width="20.421875" style="180" customWidth="1"/>
    <col min="7" max="16384" width="9.140625" style="178" customWidth="1"/>
  </cols>
  <sheetData>
    <row r="1" spans="1:6" s="176" customFormat="1" ht="15.75">
      <c r="A1" s="341"/>
      <c r="B1" s="341"/>
      <c r="C1" s="175"/>
      <c r="D1" s="175"/>
      <c r="E1" s="342" t="s">
        <v>423</v>
      </c>
      <c r="F1" s="342"/>
    </row>
    <row r="2" ht="15.75">
      <c r="A2" s="177"/>
    </row>
    <row r="3" spans="1:6" ht="18.75">
      <c r="A3" s="343" t="s">
        <v>424</v>
      </c>
      <c r="B3" s="343"/>
      <c r="C3" s="343"/>
      <c r="D3" s="343"/>
      <c r="E3" s="343"/>
      <c r="F3" s="343"/>
    </row>
    <row r="4" spans="1:6" ht="22.5" customHeight="1">
      <c r="A4" s="344" t="s">
        <v>487</v>
      </c>
      <c r="B4" s="344"/>
      <c r="C4" s="344"/>
      <c r="D4" s="344"/>
      <c r="E4" s="344"/>
      <c r="F4" s="344"/>
    </row>
    <row r="5" spans="1:6" ht="15.75">
      <c r="A5" s="181"/>
      <c r="B5" s="181"/>
      <c r="C5" s="181"/>
      <c r="D5" s="181"/>
      <c r="E5" s="181"/>
      <c r="F5" s="181"/>
    </row>
    <row r="6" spans="5:6" ht="15.75" customHeight="1">
      <c r="E6" s="345" t="s">
        <v>363</v>
      </c>
      <c r="F6" s="345"/>
    </row>
    <row r="7" spans="1:6" ht="31.5" customHeight="1">
      <c r="A7" s="346" t="s">
        <v>358</v>
      </c>
      <c r="B7" s="346" t="s">
        <v>359</v>
      </c>
      <c r="C7" s="348" t="s">
        <v>425</v>
      </c>
      <c r="D7" s="333" t="s">
        <v>426</v>
      </c>
      <c r="E7" s="338" t="s">
        <v>427</v>
      </c>
      <c r="F7" s="335" t="s">
        <v>428</v>
      </c>
    </row>
    <row r="8" spans="1:6" ht="24" customHeight="1">
      <c r="A8" s="347"/>
      <c r="B8" s="347"/>
      <c r="C8" s="349"/>
      <c r="D8" s="334"/>
      <c r="E8" s="339"/>
      <c r="F8" s="335"/>
    </row>
    <row r="9" spans="1:6" s="183" customFormat="1" ht="15.75" customHeight="1">
      <c r="A9" s="154" t="s">
        <v>360</v>
      </c>
      <c r="B9" s="154" t="s">
        <v>361</v>
      </c>
      <c r="C9" s="154">
        <v>1</v>
      </c>
      <c r="D9" s="154">
        <v>2</v>
      </c>
      <c r="E9" s="154" t="s">
        <v>429</v>
      </c>
      <c r="F9" s="154">
        <v>4</v>
      </c>
    </row>
    <row r="10" spans="1:6" s="188" customFormat="1" ht="30.75" customHeight="1">
      <c r="A10" s="184" t="s">
        <v>360</v>
      </c>
      <c r="B10" s="185" t="s">
        <v>430</v>
      </c>
      <c r="C10" s="186">
        <f>SUM(C11,C50,C55,C56)</f>
        <v>1123548.129879</v>
      </c>
      <c r="D10" s="186">
        <f>SUM(D11,D50,D55,D56)</f>
        <v>0</v>
      </c>
      <c r="E10" s="186">
        <f>SUM(E11,E50,E55,E56)</f>
        <v>1123548.129879</v>
      </c>
      <c r="F10" s="187"/>
    </row>
    <row r="11" spans="1:7" s="188" customFormat="1" ht="24" customHeight="1">
      <c r="A11" s="184" t="s">
        <v>369</v>
      </c>
      <c r="B11" s="185" t="s">
        <v>364</v>
      </c>
      <c r="C11" s="186">
        <f>SUM(C12,C19,C21,C28:C31,C34,C38,C41:C41,C42:C43,C45,C48:C49)</f>
        <v>1073935.829101</v>
      </c>
      <c r="D11" s="186">
        <f>SUM(D12,D19,D21,D28:D31,D34,D38,D41:D41,D42:D43,D45,D48:D49)</f>
        <v>0</v>
      </c>
      <c r="E11" s="186">
        <f>SUM(E12,E19,E21,E28:E31,E34,E38,E41:E41,E42:E43,E45,E48:E49)</f>
        <v>1073935.829101</v>
      </c>
      <c r="F11" s="187"/>
      <c r="G11" s="189"/>
    </row>
    <row r="12" spans="1:6" s="188" customFormat="1" ht="23.25" customHeight="1">
      <c r="A12" s="184">
        <v>1</v>
      </c>
      <c r="B12" s="185" t="s">
        <v>38</v>
      </c>
      <c r="C12" s="186">
        <v>247944.90302299996</v>
      </c>
      <c r="D12" s="186"/>
      <c r="E12" s="186">
        <v>247944.90302299996</v>
      </c>
      <c r="F12" s="187"/>
    </row>
    <row r="13" spans="1:6" ht="24" customHeight="1">
      <c r="A13" s="190"/>
      <c r="B13" s="191" t="s">
        <v>39</v>
      </c>
      <c r="C13" s="192">
        <v>60625.4431</v>
      </c>
      <c r="D13" s="192"/>
      <c r="E13" s="192">
        <v>60625.4431</v>
      </c>
      <c r="F13" s="193"/>
    </row>
    <row r="14" spans="1:6" ht="24" customHeight="1">
      <c r="A14" s="190"/>
      <c r="B14" s="191" t="s">
        <v>40</v>
      </c>
      <c r="C14" s="192">
        <v>8700.814715999999</v>
      </c>
      <c r="D14" s="192"/>
      <c r="E14" s="192">
        <v>8700.814715999999</v>
      </c>
      <c r="F14" s="193"/>
    </row>
    <row r="15" spans="1:6" ht="24" customHeight="1">
      <c r="A15" s="190"/>
      <c r="B15" s="191" t="s">
        <v>41</v>
      </c>
      <c r="C15" s="192">
        <v>0</v>
      </c>
      <c r="D15" s="192"/>
      <c r="E15" s="192">
        <v>0</v>
      </c>
      <c r="F15" s="193"/>
    </row>
    <row r="16" spans="1:6" ht="24" customHeight="1">
      <c r="A16" s="190"/>
      <c r="B16" s="191" t="s">
        <v>431</v>
      </c>
      <c r="C16" s="192">
        <v>178517.16439199998</v>
      </c>
      <c r="D16" s="192"/>
      <c r="E16" s="192">
        <v>178517.16439199998</v>
      </c>
      <c r="F16" s="193"/>
    </row>
    <row r="17" spans="1:6" ht="24" customHeight="1">
      <c r="A17" s="190"/>
      <c r="B17" s="191" t="s">
        <v>432</v>
      </c>
      <c r="C17" s="192">
        <v>1.5</v>
      </c>
      <c r="D17" s="192"/>
      <c r="E17" s="192">
        <v>1.5</v>
      </c>
      <c r="F17" s="193"/>
    </row>
    <row r="18" spans="1:6" ht="24" customHeight="1">
      <c r="A18" s="190"/>
      <c r="B18" s="191" t="s">
        <v>433</v>
      </c>
      <c r="C18" s="192">
        <v>99.98081499999999</v>
      </c>
      <c r="D18" s="192"/>
      <c r="E18" s="192">
        <v>99.98081499999999</v>
      </c>
      <c r="F18" s="193"/>
    </row>
    <row r="19" spans="1:6" s="188" customFormat="1" ht="31.5" customHeight="1">
      <c r="A19" s="184">
        <v>2</v>
      </c>
      <c r="B19" s="185" t="s">
        <v>434</v>
      </c>
      <c r="C19" s="186">
        <v>159.508224</v>
      </c>
      <c r="D19" s="186"/>
      <c r="E19" s="186">
        <v>159.508224</v>
      </c>
      <c r="F19" s="187"/>
    </row>
    <row r="20" spans="1:6" ht="24" customHeight="1">
      <c r="A20" s="190"/>
      <c r="B20" s="191" t="s">
        <v>39</v>
      </c>
      <c r="C20" s="192">
        <v>159.508224</v>
      </c>
      <c r="D20" s="192"/>
      <c r="E20" s="192">
        <v>159.508224</v>
      </c>
      <c r="F20" s="193"/>
    </row>
    <row r="21" spans="1:6" s="188" customFormat="1" ht="24" customHeight="1">
      <c r="A21" s="184">
        <v>3</v>
      </c>
      <c r="B21" s="185" t="s">
        <v>435</v>
      </c>
      <c r="C21" s="186">
        <v>336855</v>
      </c>
      <c r="D21" s="186"/>
      <c r="E21" s="186">
        <v>336855</v>
      </c>
      <c r="F21" s="187"/>
    </row>
    <row r="22" spans="1:6" ht="24" customHeight="1">
      <c r="A22" s="190"/>
      <c r="B22" s="191" t="s">
        <v>39</v>
      </c>
      <c r="C22" s="192">
        <v>265287.247423</v>
      </c>
      <c r="D22" s="192"/>
      <c r="E22" s="192">
        <v>265287.247423</v>
      </c>
      <c r="F22" s="193"/>
    </row>
    <row r="23" spans="1:6" ht="24" customHeight="1">
      <c r="A23" s="190"/>
      <c r="B23" s="191" t="s">
        <v>40</v>
      </c>
      <c r="C23" s="192">
        <v>21690.325709999997</v>
      </c>
      <c r="D23" s="192"/>
      <c r="E23" s="192">
        <v>21690.325709999997</v>
      </c>
      <c r="F23" s="193"/>
    </row>
    <row r="24" spans="1:6" ht="24" customHeight="1">
      <c r="A24" s="190"/>
      <c r="B24" s="191" t="s">
        <v>41</v>
      </c>
      <c r="C24" s="192">
        <v>237.833767</v>
      </c>
      <c r="D24" s="192"/>
      <c r="E24" s="192">
        <v>237.833767</v>
      </c>
      <c r="F24" s="193"/>
    </row>
    <row r="25" spans="1:6" ht="24" customHeight="1">
      <c r="A25" s="190"/>
      <c r="B25" s="191" t="s">
        <v>431</v>
      </c>
      <c r="C25" s="192">
        <v>47164</v>
      </c>
      <c r="D25" s="192"/>
      <c r="E25" s="192">
        <v>47164</v>
      </c>
      <c r="F25" s="193"/>
    </row>
    <row r="26" spans="1:6" ht="24" customHeight="1">
      <c r="A26" s="190"/>
      <c r="B26" s="191" t="s">
        <v>432</v>
      </c>
      <c r="C26" s="192">
        <v>94.3</v>
      </c>
      <c r="D26" s="192"/>
      <c r="E26" s="192">
        <v>94.3</v>
      </c>
      <c r="F26" s="193"/>
    </row>
    <row r="27" spans="1:6" ht="24" customHeight="1">
      <c r="A27" s="190" t="s">
        <v>436</v>
      </c>
      <c r="B27" s="191" t="s">
        <v>437</v>
      </c>
      <c r="C27" s="192">
        <v>2381</v>
      </c>
      <c r="D27" s="192"/>
      <c r="E27" s="192">
        <v>2381</v>
      </c>
      <c r="F27" s="193"/>
    </row>
    <row r="28" spans="1:6" s="188" customFormat="1" ht="24" customHeight="1">
      <c r="A28" s="184">
        <v>4</v>
      </c>
      <c r="B28" s="185" t="s">
        <v>152</v>
      </c>
      <c r="C28" s="186">
        <v>54590</v>
      </c>
      <c r="D28" s="186"/>
      <c r="E28" s="186">
        <v>54590</v>
      </c>
      <c r="F28" s="187"/>
    </row>
    <row r="29" spans="1:6" s="188" customFormat="1" ht="24" customHeight="1">
      <c r="A29" s="184">
        <v>5</v>
      </c>
      <c r="B29" s="185" t="s">
        <v>140</v>
      </c>
      <c r="C29" s="186">
        <v>2371.507433</v>
      </c>
      <c r="D29" s="186"/>
      <c r="E29" s="186">
        <v>2371.507433</v>
      </c>
      <c r="F29" s="187"/>
    </row>
    <row r="30" spans="1:6" s="188" customFormat="1" ht="24" customHeight="1">
      <c r="A30" s="184">
        <v>6</v>
      </c>
      <c r="B30" s="185" t="s">
        <v>127</v>
      </c>
      <c r="C30" s="186">
        <v>37369</v>
      </c>
      <c r="D30" s="186"/>
      <c r="E30" s="186">
        <v>37369</v>
      </c>
      <c r="F30" s="187"/>
    </row>
    <row r="31" spans="1:6" s="188" customFormat="1" ht="24" customHeight="1">
      <c r="A31" s="184">
        <v>7</v>
      </c>
      <c r="B31" s="185" t="s">
        <v>128</v>
      </c>
      <c r="C31" s="186">
        <v>133364.70802999998</v>
      </c>
      <c r="D31" s="186"/>
      <c r="E31" s="186">
        <v>133364.70802999998</v>
      </c>
      <c r="F31" s="187"/>
    </row>
    <row r="32" spans="1:6" s="198" customFormat="1" ht="24" customHeight="1">
      <c r="A32" s="194"/>
      <c r="B32" s="195" t="s">
        <v>438</v>
      </c>
      <c r="C32" s="196">
        <v>83667.268438</v>
      </c>
      <c r="D32" s="196"/>
      <c r="E32" s="196">
        <v>83667.268438</v>
      </c>
      <c r="F32" s="197"/>
    </row>
    <row r="33" spans="1:6" s="198" customFormat="1" ht="24" customHeight="1">
      <c r="A33" s="194"/>
      <c r="B33" s="195" t="s">
        <v>439</v>
      </c>
      <c r="C33" s="196">
        <v>49697.439592</v>
      </c>
      <c r="D33" s="196"/>
      <c r="E33" s="196">
        <v>49697.439592</v>
      </c>
      <c r="F33" s="197"/>
    </row>
    <row r="34" spans="1:6" s="188" customFormat="1" ht="24" customHeight="1">
      <c r="A34" s="184">
        <v>8</v>
      </c>
      <c r="B34" s="185" t="s">
        <v>440</v>
      </c>
      <c r="C34" s="186">
        <v>33885.305347</v>
      </c>
      <c r="D34" s="186"/>
      <c r="E34" s="186">
        <v>33885.305347</v>
      </c>
      <c r="F34" s="187"/>
    </row>
    <row r="35" spans="1:6" s="198" customFormat="1" ht="31.5" customHeight="1">
      <c r="A35" s="194"/>
      <c r="B35" s="195" t="s">
        <v>441</v>
      </c>
      <c r="C35" s="196">
        <v>5657.604658</v>
      </c>
      <c r="D35" s="196"/>
      <c r="E35" s="196">
        <v>5657.604658</v>
      </c>
      <c r="F35" s="197"/>
    </row>
    <row r="36" spans="1:6" s="198" customFormat="1" ht="31.5" customHeight="1">
      <c r="A36" s="194"/>
      <c r="B36" s="195" t="s">
        <v>442</v>
      </c>
      <c r="C36" s="196">
        <v>28227.700689</v>
      </c>
      <c r="D36" s="196"/>
      <c r="E36" s="196">
        <v>28227.700689</v>
      </c>
      <c r="F36" s="197"/>
    </row>
    <row r="37" spans="1:6" s="198" customFormat="1" ht="31.5" customHeight="1">
      <c r="A37" s="194"/>
      <c r="B37" s="195" t="s">
        <v>443</v>
      </c>
      <c r="C37" s="196">
        <v>4877.116639</v>
      </c>
      <c r="D37" s="196"/>
      <c r="E37" s="196">
        <v>4877.116639</v>
      </c>
      <c r="F37" s="197"/>
    </row>
    <row r="38" spans="1:6" s="188" customFormat="1" ht="24" customHeight="1">
      <c r="A38" s="184">
        <v>9</v>
      </c>
      <c r="B38" s="185" t="s">
        <v>444</v>
      </c>
      <c r="C38" s="186">
        <v>123242.338632</v>
      </c>
      <c r="D38" s="186"/>
      <c r="E38" s="186">
        <v>123242.338632</v>
      </c>
      <c r="F38" s="187"/>
    </row>
    <row r="39" spans="1:6" s="198" customFormat="1" ht="31.5" customHeight="1">
      <c r="A39" s="194"/>
      <c r="B39" s="195" t="s">
        <v>445</v>
      </c>
      <c r="C39" s="196">
        <v>0</v>
      </c>
      <c r="D39" s="196"/>
      <c r="E39" s="196">
        <v>0</v>
      </c>
      <c r="F39" s="197"/>
    </row>
    <row r="40" spans="1:6" s="198" customFormat="1" ht="31.5" customHeight="1">
      <c r="A40" s="194"/>
      <c r="B40" s="195" t="s">
        <v>446</v>
      </c>
      <c r="C40" s="196">
        <v>123242</v>
      </c>
      <c r="D40" s="196"/>
      <c r="E40" s="196">
        <v>123242</v>
      </c>
      <c r="F40" s="197"/>
    </row>
    <row r="41" spans="1:6" s="188" customFormat="1" ht="24" customHeight="1">
      <c r="A41" s="184">
        <v>10</v>
      </c>
      <c r="B41" s="185" t="s">
        <v>447</v>
      </c>
      <c r="C41" s="186">
        <v>27229.219323999998</v>
      </c>
      <c r="D41" s="186"/>
      <c r="E41" s="186">
        <v>27229.219323999998</v>
      </c>
      <c r="F41" s="187"/>
    </row>
    <row r="42" spans="1:6" s="188" customFormat="1" ht="31.5" customHeight="1">
      <c r="A42" s="184">
        <v>11</v>
      </c>
      <c r="B42" s="185" t="s">
        <v>448</v>
      </c>
      <c r="C42" s="186">
        <v>783.3</v>
      </c>
      <c r="D42" s="186"/>
      <c r="E42" s="186">
        <v>783.3</v>
      </c>
      <c r="F42" s="187"/>
    </row>
    <row r="43" spans="1:6" s="188" customFormat="1" ht="24" customHeight="1">
      <c r="A43" s="184">
        <v>12</v>
      </c>
      <c r="B43" s="185" t="s">
        <v>142</v>
      </c>
      <c r="C43" s="186">
        <v>42002.862809</v>
      </c>
      <c r="D43" s="186"/>
      <c r="E43" s="186">
        <v>42002.862809</v>
      </c>
      <c r="F43" s="187"/>
    </row>
    <row r="44" spans="1:6" s="198" customFormat="1" ht="31.5" customHeight="1">
      <c r="A44" s="195"/>
      <c r="B44" s="195" t="s">
        <v>449</v>
      </c>
      <c r="C44" s="196">
        <v>15379.976041</v>
      </c>
      <c r="D44" s="196"/>
      <c r="E44" s="196">
        <v>15379.976041</v>
      </c>
      <c r="F44" s="197"/>
    </row>
    <row r="45" spans="1:6" s="188" customFormat="1" ht="24" customHeight="1">
      <c r="A45" s="184">
        <v>18</v>
      </c>
      <c r="B45" s="185" t="s">
        <v>141</v>
      </c>
      <c r="C45" s="186">
        <v>6989.2988000000005</v>
      </c>
      <c r="D45" s="186"/>
      <c r="E45" s="186">
        <v>6989.2988000000005</v>
      </c>
      <c r="F45" s="187"/>
    </row>
    <row r="46" spans="1:6" s="198" customFormat="1" ht="24" customHeight="1">
      <c r="A46" s="195"/>
      <c r="B46" s="195" t="s">
        <v>450</v>
      </c>
      <c r="C46" s="196">
        <v>0</v>
      </c>
      <c r="D46" s="196"/>
      <c r="E46" s="196">
        <v>0</v>
      </c>
      <c r="F46" s="197"/>
    </row>
    <row r="47" spans="1:6" s="198" customFormat="1" ht="31.5" customHeight="1">
      <c r="A47" s="194"/>
      <c r="B47" s="195" t="s">
        <v>451</v>
      </c>
      <c r="C47" s="196">
        <v>6989.2988000000005</v>
      </c>
      <c r="D47" s="196"/>
      <c r="E47" s="196">
        <v>6989.2988000000005</v>
      </c>
      <c r="F47" s="197"/>
    </row>
    <row r="48" spans="1:6" s="188" customFormat="1" ht="31.5" customHeight="1">
      <c r="A48" s="184">
        <v>13</v>
      </c>
      <c r="B48" s="185" t="s">
        <v>452</v>
      </c>
      <c r="C48" s="186">
        <v>3796.030826</v>
      </c>
      <c r="D48" s="186"/>
      <c r="E48" s="186">
        <v>3796.030826</v>
      </c>
      <c r="F48" s="187"/>
    </row>
    <row r="49" spans="1:6" s="188" customFormat="1" ht="31.5" customHeight="1">
      <c r="A49" s="184">
        <v>14</v>
      </c>
      <c r="B49" s="185" t="s">
        <v>453</v>
      </c>
      <c r="C49" s="186">
        <v>23352.846653</v>
      </c>
      <c r="D49" s="186"/>
      <c r="E49" s="186">
        <v>23352.846653</v>
      </c>
      <c r="F49" s="187"/>
    </row>
    <row r="50" spans="1:6" s="188" customFormat="1" ht="24" customHeight="1">
      <c r="A50" s="184" t="s">
        <v>365</v>
      </c>
      <c r="B50" s="185" t="s">
        <v>454</v>
      </c>
      <c r="C50" s="186">
        <v>16070.300778</v>
      </c>
      <c r="D50" s="186"/>
      <c r="E50" s="186">
        <v>16070.300778</v>
      </c>
      <c r="F50" s="187"/>
    </row>
    <row r="51" spans="1:6" ht="24" customHeight="1">
      <c r="A51" s="190">
        <v>1</v>
      </c>
      <c r="B51" s="191" t="s">
        <v>143</v>
      </c>
      <c r="C51" s="192">
        <v>1574.620421</v>
      </c>
      <c r="D51" s="192"/>
      <c r="E51" s="192">
        <v>1574.620421</v>
      </c>
      <c r="F51" s="193"/>
    </row>
    <row r="52" spans="1:6" ht="24" customHeight="1">
      <c r="A52" s="190">
        <v>2</v>
      </c>
      <c r="B52" s="191" t="s">
        <v>455</v>
      </c>
      <c r="C52" s="192">
        <v>9.062</v>
      </c>
      <c r="D52" s="192"/>
      <c r="E52" s="192">
        <v>9.062</v>
      </c>
      <c r="F52" s="193"/>
    </row>
    <row r="53" spans="1:6" ht="24" customHeight="1">
      <c r="A53" s="190">
        <v>3</v>
      </c>
      <c r="B53" s="191" t="s">
        <v>456</v>
      </c>
      <c r="C53" s="192">
        <v>14357.785535</v>
      </c>
      <c r="D53" s="192"/>
      <c r="E53" s="192">
        <v>14357.785535</v>
      </c>
      <c r="F53" s="193"/>
    </row>
    <row r="54" spans="1:6" ht="24" customHeight="1">
      <c r="A54" s="190">
        <v>4</v>
      </c>
      <c r="B54" s="191" t="s">
        <v>144</v>
      </c>
      <c r="C54" s="192">
        <v>128.732822</v>
      </c>
      <c r="D54" s="192"/>
      <c r="E54" s="192">
        <v>128.732822</v>
      </c>
      <c r="F54" s="193"/>
    </row>
    <row r="55" spans="1:6" s="188" customFormat="1" ht="24" customHeight="1">
      <c r="A55" s="184" t="s">
        <v>366</v>
      </c>
      <c r="B55" s="185" t="s">
        <v>457</v>
      </c>
      <c r="C55" s="186">
        <v>19372</v>
      </c>
      <c r="D55" s="186"/>
      <c r="E55" s="186">
        <v>19372</v>
      </c>
      <c r="F55" s="187"/>
    </row>
    <row r="56" spans="1:6" s="188" customFormat="1" ht="24" customHeight="1">
      <c r="A56" s="184" t="s">
        <v>367</v>
      </c>
      <c r="B56" s="185" t="s">
        <v>458</v>
      </c>
      <c r="C56" s="186">
        <v>14170</v>
      </c>
      <c r="D56" s="186"/>
      <c r="E56" s="186">
        <v>14170</v>
      </c>
      <c r="F56" s="187"/>
    </row>
    <row r="57" spans="1:6" ht="31.5" customHeight="1">
      <c r="A57" s="190">
        <v>1</v>
      </c>
      <c r="B57" s="191" t="s">
        <v>459</v>
      </c>
      <c r="C57" s="192">
        <v>1272</v>
      </c>
      <c r="D57" s="192"/>
      <c r="E57" s="192">
        <v>1272</v>
      </c>
      <c r="F57" s="193"/>
    </row>
    <row r="58" spans="1:6" ht="24" customHeight="1">
      <c r="A58" s="190">
        <v>2</v>
      </c>
      <c r="B58" s="191" t="s">
        <v>460</v>
      </c>
      <c r="C58" s="192">
        <v>12898</v>
      </c>
      <c r="D58" s="192"/>
      <c r="E58" s="192">
        <v>12898</v>
      </c>
      <c r="F58" s="193"/>
    </row>
    <row r="59" spans="1:6" s="188" customFormat="1" ht="24" customHeight="1">
      <c r="A59" s="184"/>
      <c r="B59" s="185"/>
      <c r="C59" s="186"/>
      <c r="D59" s="186"/>
      <c r="E59" s="199"/>
      <c r="F59" s="187"/>
    </row>
    <row r="60" spans="1:6" s="188" customFormat="1" ht="24" customHeight="1">
      <c r="A60" s="200" t="s">
        <v>361</v>
      </c>
      <c r="B60" s="185" t="s">
        <v>461</v>
      </c>
      <c r="C60" s="186">
        <f>SUM(C61,C64,C69,C70,C71,C72,C73)</f>
        <v>10592997.115072</v>
      </c>
      <c r="D60" s="186">
        <f>SUM(D61,D64,D69,D70,D71,D72,D73)</f>
        <v>116458.742815</v>
      </c>
      <c r="E60" s="186">
        <f>SUM(E61,E64,E69,E70,E71,E72,E73)</f>
        <v>10709455.930380998</v>
      </c>
      <c r="F60" s="187"/>
    </row>
    <row r="61" spans="1:6" s="205" customFormat="1" ht="24" customHeight="1">
      <c r="A61" s="200" t="s">
        <v>369</v>
      </c>
      <c r="B61" s="201" t="s">
        <v>462</v>
      </c>
      <c r="C61" s="202">
        <f>SUM(C62:C63)</f>
        <v>983166</v>
      </c>
      <c r="D61" s="202">
        <f>SUM(D62:D63)</f>
        <v>0</v>
      </c>
      <c r="E61" s="203">
        <f>SUM(E62:E63)</f>
        <v>983166.072494</v>
      </c>
      <c r="F61" s="204"/>
    </row>
    <row r="62" spans="1:6" ht="24" customHeight="1">
      <c r="A62" s="190">
        <v>1</v>
      </c>
      <c r="B62" s="206" t="s">
        <v>463</v>
      </c>
      <c r="C62" s="192">
        <v>539404</v>
      </c>
      <c r="D62" s="192"/>
      <c r="E62" s="192">
        <v>539404.367824</v>
      </c>
      <c r="F62" s="193"/>
    </row>
    <row r="63" spans="1:6" ht="24" customHeight="1">
      <c r="A63" s="190">
        <v>2</v>
      </c>
      <c r="B63" s="206" t="s">
        <v>464</v>
      </c>
      <c r="C63" s="192">
        <v>443762</v>
      </c>
      <c r="D63" s="192"/>
      <c r="E63" s="192">
        <v>443761.70467</v>
      </c>
      <c r="F63" s="193"/>
    </row>
    <row r="64" spans="1:6" s="211" customFormat="1" ht="24" customHeight="1">
      <c r="A64" s="207" t="s">
        <v>365</v>
      </c>
      <c r="B64" s="208" t="s">
        <v>465</v>
      </c>
      <c r="C64" s="209">
        <f>SUM(C65:C66)</f>
        <v>8035043.942152</v>
      </c>
      <c r="D64" s="209">
        <f>SUM(D65:D66)</f>
        <v>115088</v>
      </c>
      <c r="E64" s="209">
        <f>SUM(E65:E66)</f>
        <v>8150131.942152</v>
      </c>
      <c r="F64" s="210"/>
    </row>
    <row r="65" spans="1:6" s="211" customFormat="1" ht="24" customHeight="1">
      <c r="A65" s="207" t="s">
        <v>466</v>
      </c>
      <c r="B65" s="208" t="s">
        <v>467</v>
      </c>
      <c r="C65" s="209">
        <v>5666899</v>
      </c>
      <c r="D65" s="209"/>
      <c r="E65" s="209">
        <v>5666899</v>
      </c>
      <c r="F65" s="210"/>
    </row>
    <row r="66" spans="1:6" s="211" customFormat="1" ht="24" customHeight="1">
      <c r="A66" s="207" t="s">
        <v>468</v>
      </c>
      <c r="B66" s="208" t="s">
        <v>337</v>
      </c>
      <c r="C66" s="209">
        <f>SUM(C67:C68)</f>
        <v>2368144.942152</v>
      </c>
      <c r="D66" s="209">
        <f>E66-C66</f>
        <v>115088</v>
      </c>
      <c r="E66" s="212">
        <v>2483232.942152</v>
      </c>
      <c r="F66" s="210"/>
    </row>
    <row r="67" spans="1:6" s="219" customFormat="1" ht="31.5" customHeight="1">
      <c r="A67" s="213" t="s">
        <v>228</v>
      </c>
      <c r="B67" s="214" t="s">
        <v>469</v>
      </c>
      <c r="C67" s="215">
        <v>2038964.265388</v>
      </c>
      <c r="D67" s="216">
        <v>115088</v>
      </c>
      <c r="E67" s="217">
        <f>C67+D67</f>
        <v>2154052.265388</v>
      </c>
      <c r="F67" s="218"/>
    </row>
    <row r="68" spans="1:6" s="219" customFormat="1" ht="31.5" customHeight="1">
      <c r="A68" s="213" t="s">
        <v>229</v>
      </c>
      <c r="B68" s="214" t="s">
        <v>470</v>
      </c>
      <c r="C68" s="215">
        <v>329180.67676400003</v>
      </c>
      <c r="D68" s="215"/>
      <c r="E68" s="215">
        <v>329180.67676400003</v>
      </c>
      <c r="F68" s="218"/>
    </row>
    <row r="69" spans="1:6" s="188" customFormat="1" ht="24" customHeight="1">
      <c r="A69" s="184" t="s">
        <v>366</v>
      </c>
      <c r="B69" s="185" t="s">
        <v>328</v>
      </c>
      <c r="C69" s="186">
        <v>52876</v>
      </c>
      <c r="D69" s="186">
        <f>E69-C69</f>
        <v>1370.7428149999978</v>
      </c>
      <c r="E69" s="199">
        <v>54246.742815</v>
      </c>
      <c r="F69" s="187"/>
    </row>
    <row r="70" spans="1:6" s="188" customFormat="1" ht="24" customHeight="1">
      <c r="A70" s="184" t="s">
        <v>367</v>
      </c>
      <c r="B70" s="185" t="s">
        <v>471</v>
      </c>
      <c r="C70" s="186">
        <v>1491470</v>
      </c>
      <c r="D70" s="186"/>
      <c r="E70" s="186">
        <v>1491470</v>
      </c>
      <c r="F70" s="187"/>
    </row>
    <row r="71" spans="1:6" s="188" customFormat="1" ht="24" customHeight="1">
      <c r="A71" s="184" t="s">
        <v>381</v>
      </c>
      <c r="B71" s="185" t="s">
        <v>472</v>
      </c>
      <c r="C71" s="186">
        <v>3688</v>
      </c>
      <c r="D71" s="186"/>
      <c r="E71" s="186">
        <v>3688</v>
      </c>
      <c r="F71" s="187"/>
    </row>
    <row r="72" spans="1:6" s="188" customFormat="1" ht="24" customHeight="1">
      <c r="A72" s="184" t="s">
        <v>150</v>
      </c>
      <c r="B72" s="185" t="s">
        <v>457</v>
      </c>
      <c r="C72" s="186">
        <v>19372.441975</v>
      </c>
      <c r="D72" s="186"/>
      <c r="E72" s="186">
        <v>19372.441975</v>
      </c>
      <c r="F72" s="187"/>
    </row>
    <row r="73" spans="1:6" s="188" customFormat="1" ht="24" customHeight="1">
      <c r="A73" s="184" t="s">
        <v>309</v>
      </c>
      <c r="B73" s="185" t="s">
        <v>473</v>
      </c>
      <c r="C73" s="186">
        <v>7380.730945</v>
      </c>
      <c r="D73" s="186"/>
      <c r="E73" s="186">
        <v>7380.730945</v>
      </c>
      <c r="F73" s="187"/>
    </row>
    <row r="74" spans="1:6" s="188" customFormat="1" ht="24" customHeight="1">
      <c r="A74" s="182"/>
      <c r="B74" s="220"/>
      <c r="C74" s="221"/>
      <c r="D74" s="221"/>
      <c r="E74" s="222"/>
      <c r="F74" s="223"/>
    </row>
    <row r="75" ht="24" customHeight="1">
      <c r="A75" s="224"/>
    </row>
    <row r="76" spans="1:6" ht="15.75">
      <c r="A76" s="330"/>
      <c r="B76" s="330"/>
      <c r="C76" s="331"/>
      <c r="D76" s="331"/>
      <c r="E76" s="330"/>
      <c r="F76" s="330"/>
    </row>
    <row r="77" spans="1:6" ht="15.75">
      <c r="A77" s="332"/>
      <c r="B77" s="332"/>
      <c r="C77" s="340"/>
      <c r="D77" s="340"/>
      <c r="E77" s="332"/>
      <c r="F77" s="332"/>
    </row>
    <row r="78" spans="1:6" ht="15.75">
      <c r="A78" s="336"/>
      <c r="B78" s="336"/>
      <c r="C78" s="337"/>
      <c r="D78" s="337"/>
      <c r="E78" s="336"/>
      <c r="F78" s="336"/>
    </row>
    <row r="79" spans="1:6" ht="15.75">
      <c r="A79" s="225"/>
      <c r="B79" s="225"/>
      <c r="C79" s="226"/>
      <c r="D79" s="226"/>
      <c r="E79" s="227"/>
      <c r="F79" s="227"/>
    </row>
    <row r="80" spans="1:6" ht="15.75" hidden="1">
      <c r="A80" s="225"/>
      <c r="B80" s="225"/>
      <c r="C80" s="226"/>
      <c r="D80" s="226">
        <v>7694075.36321</v>
      </c>
      <c r="E80" s="227"/>
      <c r="F80" s="227"/>
    </row>
    <row r="81" spans="1:6" ht="15.75" hidden="1">
      <c r="A81" s="225"/>
      <c r="B81" s="225"/>
      <c r="C81" s="226"/>
      <c r="D81" s="226">
        <f>D64-D80</f>
        <v>-7578987.36321</v>
      </c>
      <c r="E81" s="227"/>
      <c r="F81" s="227"/>
    </row>
    <row r="82" spans="1:6" ht="15.75" hidden="1">
      <c r="A82" s="225"/>
      <c r="B82" s="225"/>
      <c r="C82" s="226"/>
      <c r="D82" s="226">
        <v>71576.16168</v>
      </c>
      <c r="E82" s="227"/>
      <c r="F82" s="227"/>
    </row>
    <row r="83" spans="1:4" ht="15.75" hidden="1">
      <c r="A83" s="224"/>
      <c r="D83" s="179">
        <v>210519.629698</v>
      </c>
    </row>
    <row r="84" ht="15" hidden="1">
      <c r="D84" s="179">
        <f>D81-D83-D82</f>
        <v>-7861083.154588</v>
      </c>
    </row>
    <row r="86" spans="1:6" ht="15.75">
      <c r="A86" s="329"/>
      <c r="B86" s="329"/>
      <c r="C86" s="329"/>
      <c r="D86" s="329"/>
      <c r="E86" s="329"/>
      <c r="F86" s="329"/>
    </row>
  </sheetData>
  <sheetProtection/>
  <mergeCells count="21">
    <mergeCell ref="C7:C8"/>
    <mergeCell ref="E78:F78"/>
    <mergeCell ref="E7:E8"/>
    <mergeCell ref="C77:D77"/>
    <mergeCell ref="A1:B1"/>
    <mergeCell ref="E1:F1"/>
    <mergeCell ref="A3:F3"/>
    <mergeCell ref="A4:F4"/>
    <mergeCell ref="E6:F6"/>
    <mergeCell ref="A7:A8"/>
    <mergeCell ref="B7:B8"/>
    <mergeCell ref="A86:F86"/>
    <mergeCell ref="A76:B76"/>
    <mergeCell ref="C76:D76"/>
    <mergeCell ref="E76:F76"/>
    <mergeCell ref="A77:B77"/>
    <mergeCell ref="D7:D8"/>
    <mergeCell ref="E77:F77"/>
    <mergeCell ref="F7:F8"/>
    <mergeCell ref="A78:B78"/>
    <mergeCell ref="C78:D78"/>
  </mergeCells>
  <printOptions horizontalCentered="1"/>
  <pageMargins left="0" right="0" top="0" bottom="0" header="0.5" footer="0.5"/>
  <pageSetup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sheetPr>
    <tabColor indexed="14"/>
  </sheetPr>
  <dimension ref="A1:AC32"/>
  <sheetViews>
    <sheetView zoomScalePageLayoutView="0" workbookViewId="0" topLeftCell="A1">
      <selection activeCell="K6" sqref="K6:K8"/>
    </sheetView>
  </sheetViews>
  <sheetFormatPr defaultColWidth="9.140625" defaultRowHeight="15"/>
  <cols>
    <col min="1" max="1" width="6.28125" style="0" customWidth="1"/>
    <col min="2" max="2" width="22.421875" style="0" customWidth="1"/>
    <col min="3" max="4" width="11.28125" style="0" bestFit="1" customWidth="1"/>
    <col min="5" max="5" width="5.421875" style="0" customWidth="1"/>
    <col min="6" max="6" width="5.00390625" style="0" customWidth="1"/>
    <col min="7" max="7" width="4.421875" style="0" customWidth="1"/>
    <col min="8" max="8" width="8.421875" style="0" customWidth="1"/>
    <col min="9" max="9" width="7.7109375" style="0" customWidth="1"/>
    <col min="10" max="10" width="5.421875" style="0" customWidth="1"/>
    <col min="11" max="11" width="14.8515625" style="0" customWidth="1"/>
    <col min="12" max="12" width="14.140625" style="0" customWidth="1"/>
    <col min="13" max="13" width="14.421875" style="0" customWidth="1"/>
    <col min="14" max="14" width="12.00390625" style="0" customWidth="1"/>
    <col min="15" max="15" width="13.00390625" style="0" customWidth="1"/>
    <col min="16" max="16" width="11.421875" style="0" customWidth="1"/>
    <col min="17" max="17" width="12.421875" style="0" customWidth="1"/>
    <col min="18" max="18" width="12.140625" style="0" customWidth="1"/>
    <col min="19" max="19" width="8.7109375" style="0" customWidth="1"/>
    <col min="20" max="20" width="9.28125" style="0" bestFit="1" customWidth="1"/>
    <col min="21" max="21" width="7.421875" style="0" customWidth="1"/>
    <col min="22" max="22" width="6.421875" style="0" customWidth="1"/>
    <col min="23" max="23" width="6.00390625" style="0" customWidth="1"/>
    <col min="24" max="24" width="8.28125" style="0" customWidth="1"/>
    <col min="25" max="25" width="7.421875" style="0" customWidth="1"/>
    <col min="26" max="26" width="8.00390625" style="0" customWidth="1"/>
  </cols>
  <sheetData>
    <row r="1" spans="24:26" ht="15.75">
      <c r="X1" s="423" t="s">
        <v>342</v>
      </c>
      <c r="Y1" s="423"/>
      <c r="Z1" s="423"/>
    </row>
    <row r="2" spans="1:26" ht="18.75" customHeight="1">
      <c r="A2" s="360" t="s">
        <v>485</v>
      </c>
      <c r="B2" s="360"/>
      <c r="C2" s="360"/>
      <c r="D2" s="360"/>
      <c r="E2" s="360"/>
      <c r="F2" s="360"/>
      <c r="G2" s="360"/>
      <c r="H2" s="360"/>
      <c r="I2" s="360"/>
      <c r="J2" s="360"/>
      <c r="K2" s="360"/>
      <c r="L2" s="360"/>
      <c r="M2" s="360"/>
      <c r="N2" s="360"/>
      <c r="O2" s="360"/>
      <c r="P2" s="360"/>
      <c r="Q2" s="360"/>
      <c r="R2" s="360"/>
      <c r="S2" s="360"/>
      <c r="T2" s="360"/>
      <c r="U2" s="360"/>
      <c r="V2" s="360"/>
      <c r="W2" s="360"/>
      <c r="X2" s="360"/>
      <c r="Y2" s="360"/>
      <c r="Z2" s="360"/>
    </row>
    <row r="3" spans="1:26" ht="30.75" customHeight="1">
      <c r="A3" s="426" t="str">
        <f>'Biểu 01'!A4:F4</f>
        <v>(Kèm theo Nghị quyết  số 111/NQ-HĐND ngày  10 tháng  7  năm 2019 của Hội đồng nhân dân tỉnh Điện Biên)</v>
      </c>
      <c r="B3" s="426"/>
      <c r="C3" s="426"/>
      <c r="D3" s="426"/>
      <c r="E3" s="426"/>
      <c r="F3" s="426"/>
      <c r="G3" s="426"/>
      <c r="H3" s="426"/>
      <c r="I3" s="426"/>
      <c r="J3" s="426"/>
      <c r="K3" s="426"/>
      <c r="L3" s="426"/>
      <c r="M3" s="426"/>
      <c r="N3" s="426"/>
      <c r="O3" s="426"/>
      <c r="P3" s="426"/>
      <c r="Q3" s="426"/>
      <c r="R3" s="426"/>
      <c r="S3" s="426"/>
      <c r="T3" s="426"/>
      <c r="U3" s="426"/>
      <c r="V3" s="426"/>
      <c r="W3" s="426"/>
      <c r="X3" s="426"/>
      <c r="Y3" s="426"/>
      <c r="Z3" s="426"/>
    </row>
    <row r="4" spans="24:26" ht="15.75">
      <c r="X4" s="424" t="s">
        <v>363</v>
      </c>
      <c r="Y4" s="424"/>
      <c r="Z4" s="424"/>
    </row>
    <row r="5" spans="1:26" ht="15.75">
      <c r="A5" s="425" t="s">
        <v>358</v>
      </c>
      <c r="B5" s="425" t="s">
        <v>283</v>
      </c>
      <c r="C5" s="425" t="s">
        <v>307</v>
      </c>
      <c r="D5" s="425"/>
      <c r="E5" s="425"/>
      <c r="F5" s="425"/>
      <c r="G5" s="425"/>
      <c r="H5" s="425"/>
      <c r="I5" s="425"/>
      <c r="J5" s="425"/>
      <c r="K5" s="425" t="s">
        <v>331</v>
      </c>
      <c r="L5" s="425"/>
      <c r="M5" s="425"/>
      <c r="N5" s="425"/>
      <c r="O5" s="425"/>
      <c r="P5" s="425"/>
      <c r="Q5" s="425"/>
      <c r="R5" s="425"/>
      <c r="S5" s="425" t="s">
        <v>343</v>
      </c>
      <c r="T5" s="425"/>
      <c r="U5" s="425"/>
      <c r="V5" s="425"/>
      <c r="W5" s="425"/>
      <c r="X5" s="425"/>
      <c r="Y5" s="425"/>
      <c r="Z5" s="425"/>
    </row>
    <row r="6" spans="1:26" ht="21" customHeight="1">
      <c r="A6" s="425"/>
      <c r="B6" s="425"/>
      <c r="C6" s="425" t="s">
        <v>382</v>
      </c>
      <c r="D6" s="425" t="s">
        <v>336</v>
      </c>
      <c r="E6" s="425" t="s">
        <v>337</v>
      </c>
      <c r="F6" s="425"/>
      <c r="G6" s="425"/>
      <c r="H6" s="425"/>
      <c r="I6" s="425"/>
      <c r="J6" s="425"/>
      <c r="K6" s="425" t="s">
        <v>382</v>
      </c>
      <c r="L6" s="425" t="s">
        <v>336</v>
      </c>
      <c r="M6" s="425" t="s">
        <v>337</v>
      </c>
      <c r="N6" s="425"/>
      <c r="O6" s="425"/>
      <c r="P6" s="425"/>
      <c r="Q6" s="425"/>
      <c r="R6" s="425"/>
      <c r="S6" s="425" t="s">
        <v>382</v>
      </c>
      <c r="T6" s="425" t="s">
        <v>336</v>
      </c>
      <c r="U6" s="425" t="s">
        <v>337</v>
      </c>
      <c r="V6" s="425"/>
      <c r="W6" s="425"/>
      <c r="X6" s="425"/>
      <c r="Y6" s="425"/>
      <c r="Z6" s="425"/>
    </row>
    <row r="7" spans="1:26" ht="24.75" customHeight="1">
      <c r="A7" s="425"/>
      <c r="B7" s="425"/>
      <c r="C7" s="425"/>
      <c r="D7" s="425"/>
      <c r="E7" s="425" t="s">
        <v>382</v>
      </c>
      <c r="F7" s="425" t="s">
        <v>344</v>
      </c>
      <c r="G7" s="425"/>
      <c r="H7" s="425" t="s">
        <v>345</v>
      </c>
      <c r="I7" s="425" t="s">
        <v>346</v>
      </c>
      <c r="J7" s="425" t="s">
        <v>347</v>
      </c>
      <c r="K7" s="425"/>
      <c r="L7" s="425"/>
      <c r="M7" s="425" t="s">
        <v>382</v>
      </c>
      <c r="N7" s="425" t="s">
        <v>344</v>
      </c>
      <c r="O7" s="425"/>
      <c r="P7" s="425" t="s">
        <v>345</v>
      </c>
      <c r="Q7" s="425" t="s">
        <v>280</v>
      </c>
      <c r="R7" s="425" t="s">
        <v>347</v>
      </c>
      <c r="S7" s="425"/>
      <c r="T7" s="425"/>
      <c r="U7" s="425" t="s">
        <v>382</v>
      </c>
      <c r="V7" s="425" t="s">
        <v>344</v>
      </c>
      <c r="W7" s="425"/>
      <c r="X7" s="425" t="s">
        <v>345</v>
      </c>
      <c r="Y7" s="425" t="s">
        <v>281</v>
      </c>
      <c r="Z7" s="425" t="s">
        <v>347</v>
      </c>
    </row>
    <row r="8" spans="1:26" ht="132.75" customHeight="1">
      <c r="A8" s="425"/>
      <c r="B8" s="425"/>
      <c r="C8" s="425"/>
      <c r="D8" s="425"/>
      <c r="E8" s="425"/>
      <c r="F8" s="1" t="s">
        <v>316</v>
      </c>
      <c r="G8" s="1" t="s">
        <v>385</v>
      </c>
      <c r="H8" s="425"/>
      <c r="I8" s="425"/>
      <c r="J8" s="425"/>
      <c r="K8" s="425"/>
      <c r="L8" s="425"/>
      <c r="M8" s="425"/>
      <c r="N8" s="1" t="s">
        <v>316</v>
      </c>
      <c r="O8" s="1" t="s">
        <v>385</v>
      </c>
      <c r="P8" s="425"/>
      <c r="Q8" s="425"/>
      <c r="R8" s="425"/>
      <c r="S8" s="425"/>
      <c r="T8" s="425"/>
      <c r="U8" s="425"/>
      <c r="V8" s="1" t="s">
        <v>316</v>
      </c>
      <c r="W8" s="1" t="s">
        <v>385</v>
      </c>
      <c r="X8" s="425"/>
      <c r="Y8" s="425"/>
      <c r="Z8" s="425"/>
    </row>
    <row r="9" spans="1:26" s="4" customFormat="1" ht="24" customHeight="1">
      <c r="A9" s="3" t="s">
        <v>360</v>
      </c>
      <c r="B9" s="3" t="s">
        <v>361</v>
      </c>
      <c r="C9" s="3">
        <v>1</v>
      </c>
      <c r="D9" s="3">
        <v>2</v>
      </c>
      <c r="E9" s="3" t="s">
        <v>348</v>
      </c>
      <c r="F9" s="3">
        <v>4</v>
      </c>
      <c r="G9" s="3">
        <v>5</v>
      </c>
      <c r="H9" s="3">
        <v>6</v>
      </c>
      <c r="I9" s="3">
        <v>7</v>
      </c>
      <c r="J9" s="3">
        <v>8</v>
      </c>
      <c r="K9" s="3">
        <v>9</v>
      </c>
      <c r="L9" s="3">
        <v>10</v>
      </c>
      <c r="M9" s="3" t="s">
        <v>349</v>
      </c>
      <c r="N9" s="3">
        <v>12</v>
      </c>
      <c r="O9" s="3">
        <v>13</v>
      </c>
      <c r="P9" s="3">
        <v>14</v>
      </c>
      <c r="Q9" s="3">
        <v>15</v>
      </c>
      <c r="R9" s="3">
        <v>16</v>
      </c>
      <c r="S9" s="3" t="s">
        <v>350</v>
      </c>
      <c r="T9" s="3" t="s">
        <v>351</v>
      </c>
      <c r="U9" s="3" t="s">
        <v>352</v>
      </c>
      <c r="V9" s="3" t="s">
        <v>353</v>
      </c>
      <c r="W9" s="3" t="s">
        <v>354</v>
      </c>
      <c r="X9" s="3" t="s">
        <v>355</v>
      </c>
      <c r="Y9" s="3" t="s">
        <v>356</v>
      </c>
      <c r="Z9" s="3" t="s">
        <v>357</v>
      </c>
    </row>
    <row r="10" spans="1:26" s="6" customFormat="1" ht="37.5" customHeight="1">
      <c r="A10" s="5"/>
      <c r="B10" s="5" t="s">
        <v>383</v>
      </c>
      <c r="C10" s="20">
        <f>SUM(C11:C20)</f>
        <v>3598636</v>
      </c>
      <c r="D10" s="20">
        <f aca="true" t="shared" si="0" ref="D10:J10">SUM(D11:D20)</f>
        <v>3598636</v>
      </c>
      <c r="E10" s="20">
        <f t="shared" si="0"/>
        <v>0</v>
      </c>
      <c r="F10" s="20">
        <f t="shared" si="0"/>
        <v>0</v>
      </c>
      <c r="G10" s="20">
        <f t="shared" si="0"/>
        <v>0</v>
      </c>
      <c r="H10" s="20">
        <f t="shared" si="0"/>
        <v>0</v>
      </c>
      <c r="I10" s="20">
        <f t="shared" si="0"/>
        <v>0</v>
      </c>
      <c r="J10" s="20">
        <f t="shared" si="0"/>
        <v>0</v>
      </c>
      <c r="K10" s="80">
        <f>SUM(K11:K20)</f>
        <v>4846685.483853</v>
      </c>
      <c r="L10" s="80">
        <f>SUM(L11:L20)</f>
        <v>3611094.151471</v>
      </c>
      <c r="M10" s="80">
        <f aca="true" t="shared" si="1" ref="M10:R10">SUM(M11:M20)</f>
        <v>1235591.3323820003</v>
      </c>
      <c r="N10" s="80">
        <f t="shared" si="1"/>
        <v>99692.796035</v>
      </c>
      <c r="O10" s="80">
        <f t="shared" si="1"/>
        <v>1135898.536347</v>
      </c>
      <c r="P10" s="80">
        <f t="shared" si="1"/>
        <v>176373.292</v>
      </c>
      <c r="Q10" s="80">
        <f t="shared" si="1"/>
        <v>511513.52100000007</v>
      </c>
      <c r="R10" s="80">
        <f t="shared" si="1"/>
        <v>547704.519382</v>
      </c>
      <c r="S10" s="81">
        <f>K10/C10</f>
        <v>1.3468118153247508</v>
      </c>
      <c r="T10" s="81">
        <f>L10/D10</f>
        <v>1.0034619093098052</v>
      </c>
      <c r="U10" s="14">
        <f aca="true" t="shared" si="2" ref="U10:Z10">SUM(U11:U20)</f>
        <v>0</v>
      </c>
      <c r="V10" s="14">
        <f t="shared" si="2"/>
        <v>0</v>
      </c>
      <c r="W10" s="14">
        <f t="shared" si="2"/>
        <v>0</v>
      </c>
      <c r="X10" s="14">
        <f t="shared" si="2"/>
        <v>0</v>
      </c>
      <c r="Y10" s="14">
        <f t="shared" si="2"/>
        <v>0</v>
      </c>
      <c r="Z10" s="14">
        <f t="shared" si="2"/>
        <v>0</v>
      </c>
    </row>
    <row r="11" spans="1:26" s="75" customFormat="1" ht="30" customHeight="1">
      <c r="A11" s="58">
        <v>1</v>
      </c>
      <c r="B11" s="58" t="s">
        <v>319</v>
      </c>
      <c r="C11" s="18">
        <f>SUM(D11,E11,H11,I11,J11)</f>
        <v>655170</v>
      </c>
      <c r="D11" s="18">
        <v>655170</v>
      </c>
      <c r="E11" s="18">
        <f>SUM(F11:G11)</f>
        <v>0</v>
      </c>
      <c r="F11" s="18"/>
      <c r="G11" s="18"/>
      <c r="H11" s="18"/>
      <c r="I11" s="18"/>
      <c r="J11" s="18"/>
      <c r="K11" s="13">
        <f>SUM(L11:M11)</f>
        <v>819235.187088</v>
      </c>
      <c r="L11" s="13">
        <v>659370</v>
      </c>
      <c r="M11" s="13">
        <f>SUM(N11:O11)</f>
        <v>159865.187088</v>
      </c>
      <c r="N11" s="13">
        <v>1618.205539</v>
      </c>
      <c r="O11" s="13">
        <f>SUM(P11:R11)-N11</f>
        <v>158246.98154900002</v>
      </c>
      <c r="P11" s="13">
        <v>8820</v>
      </c>
      <c r="Q11" s="13">
        <f>68957.146+21990</f>
        <v>90947.146</v>
      </c>
      <c r="R11" s="13">
        <f>58518.041088+1580</f>
        <v>60098.041088</v>
      </c>
      <c r="S11" s="15">
        <f>K11/C11</f>
        <v>1.2504162081413985</v>
      </c>
      <c r="T11" s="15">
        <f>L11/D11</f>
        <v>1.0064105499336051</v>
      </c>
      <c r="U11" s="151"/>
      <c r="V11" s="151"/>
      <c r="W11" s="151"/>
      <c r="X11" s="151"/>
      <c r="Y11" s="151"/>
      <c r="Z11" s="151"/>
    </row>
    <row r="12" spans="1:26" s="76" customFormat="1" ht="30" customHeight="1">
      <c r="A12" s="58">
        <v>2</v>
      </c>
      <c r="B12" s="58" t="s">
        <v>317</v>
      </c>
      <c r="C12" s="18">
        <f aca="true" t="shared" si="3" ref="C12:C20">SUM(D12,E12,H12,I12,J12)</f>
        <v>475511</v>
      </c>
      <c r="D12" s="18">
        <v>475511</v>
      </c>
      <c r="E12" s="18">
        <f aca="true" t="shared" si="4" ref="E12:E20">SUM(F12:G12)</f>
        <v>0</v>
      </c>
      <c r="F12" s="18"/>
      <c r="G12" s="18"/>
      <c r="H12" s="18"/>
      <c r="I12" s="18"/>
      <c r="J12" s="18"/>
      <c r="K12" s="13">
        <f aca="true" t="shared" si="5" ref="K12:K20">SUM(L12:M12)</f>
        <v>625071.353</v>
      </c>
      <c r="L12" s="13">
        <v>475511</v>
      </c>
      <c r="M12" s="13">
        <f aca="true" t="shared" si="6" ref="M12:M20">SUM(N12:O12)</f>
        <v>149560.353</v>
      </c>
      <c r="N12" s="13">
        <v>3994.166385</v>
      </c>
      <c r="O12" s="13">
        <f aca="true" t="shared" si="7" ref="O12:O20">SUM(P12:R12)-N12</f>
        <v>145566.186615</v>
      </c>
      <c r="P12" s="13">
        <v>17007</v>
      </c>
      <c r="Q12" s="13">
        <f>59171.516+9661</f>
        <v>68832.516</v>
      </c>
      <c r="R12" s="13">
        <f>60720.837+3000</f>
        <v>63720.837</v>
      </c>
      <c r="S12" s="15">
        <f aca="true" t="shared" si="8" ref="S12:S20">K12/C12</f>
        <v>1.3145255377898724</v>
      </c>
      <c r="T12" s="15">
        <f aca="true" t="shared" si="9" ref="T12:T20">L12/D12</f>
        <v>1</v>
      </c>
      <c r="U12" s="151"/>
      <c r="V12" s="151"/>
      <c r="W12" s="151"/>
      <c r="X12" s="151"/>
      <c r="Y12" s="151"/>
      <c r="Z12" s="151"/>
    </row>
    <row r="13" spans="1:26" s="76" customFormat="1" ht="30" customHeight="1">
      <c r="A13" s="58">
        <v>3</v>
      </c>
      <c r="B13" s="58" t="s">
        <v>318</v>
      </c>
      <c r="C13" s="18">
        <f t="shared" si="3"/>
        <v>294100</v>
      </c>
      <c r="D13" s="18">
        <v>294100</v>
      </c>
      <c r="E13" s="18">
        <f t="shared" si="4"/>
        <v>0</v>
      </c>
      <c r="F13" s="18"/>
      <c r="G13" s="18"/>
      <c r="H13" s="18"/>
      <c r="I13" s="18"/>
      <c r="J13" s="18"/>
      <c r="K13" s="13">
        <f t="shared" si="5"/>
        <v>418963.000902</v>
      </c>
      <c r="L13" s="13">
        <v>294873.708902</v>
      </c>
      <c r="M13" s="13">
        <f t="shared" si="6"/>
        <v>124089.292</v>
      </c>
      <c r="N13" s="13">
        <f>20416.579222+4000</f>
        <v>24416.579222</v>
      </c>
      <c r="O13" s="13">
        <f t="shared" si="7"/>
        <v>99672.712778</v>
      </c>
      <c r="P13" s="13">
        <v>29117.904</v>
      </c>
      <c r="Q13" s="13">
        <f>30789.46+6889</f>
        <v>37678.46</v>
      </c>
      <c r="R13" s="13">
        <f>53292.928+4000</f>
        <v>57292.928</v>
      </c>
      <c r="S13" s="15">
        <f t="shared" si="8"/>
        <v>1.424559676647399</v>
      </c>
      <c r="T13" s="15">
        <f t="shared" si="9"/>
        <v>1.0026307681128868</v>
      </c>
      <c r="U13" s="151"/>
      <c r="V13" s="151"/>
      <c r="W13" s="151"/>
      <c r="X13" s="151"/>
      <c r="Y13" s="151"/>
      <c r="Z13" s="151"/>
    </row>
    <row r="14" spans="1:26" s="76" customFormat="1" ht="30" customHeight="1">
      <c r="A14" s="58">
        <v>4</v>
      </c>
      <c r="B14" s="58" t="s">
        <v>320</v>
      </c>
      <c r="C14" s="18">
        <f t="shared" si="3"/>
        <v>351603</v>
      </c>
      <c r="D14" s="18">
        <v>351603</v>
      </c>
      <c r="E14" s="18">
        <f t="shared" si="4"/>
        <v>0</v>
      </c>
      <c r="F14" s="18"/>
      <c r="G14" s="18"/>
      <c r="H14" s="18"/>
      <c r="I14" s="18"/>
      <c r="J14" s="18"/>
      <c r="K14" s="13">
        <f t="shared" si="5"/>
        <v>487323.65075000003</v>
      </c>
      <c r="L14" s="13">
        <v>352356.57565</v>
      </c>
      <c r="M14" s="13">
        <f t="shared" si="6"/>
        <v>134967.0751</v>
      </c>
      <c r="N14" s="13">
        <f>18222.69712+4709.03832</f>
        <v>22931.73544</v>
      </c>
      <c r="O14" s="13">
        <f t="shared" si="7"/>
        <v>112035.33965999998</v>
      </c>
      <c r="P14" s="13">
        <v>35510.896</v>
      </c>
      <c r="Q14" s="13">
        <f>36676.448+8896</f>
        <v>45572.448</v>
      </c>
      <c r="R14" s="13">
        <f>49883.7311+4000</f>
        <v>53883.7311</v>
      </c>
      <c r="S14" s="15">
        <f t="shared" si="8"/>
        <v>1.3860053832020773</v>
      </c>
      <c r="T14" s="15">
        <f t="shared" si="9"/>
        <v>1.0021432571678854</v>
      </c>
      <c r="U14" s="151"/>
      <c r="V14" s="151"/>
      <c r="W14" s="151"/>
      <c r="X14" s="151"/>
      <c r="Y14" s="151"/>
      <c r="Z14" s="151"/>
    </row>
    <row r="15" spans="1:26" s="76" customFormat="1" ht="30" customHeight="1">
      <c r="A15" s="58">
        <v>5</v>
      </c>
      <c r="B15" s="58" t="s">
        <v>321</v>
      </c>
      <c r="C15" s="18">
        <f t="shared" si="3"/>
        <v>322417</v>
      </c>
      <c r="D15" s="18">
        <v>322417</v>
      </c>
      <c r="E15" s="18">
        <f t="shared" si="4"/>
        <v>0</v>
      </c>
      <c r="F15" s="18"/>
      <c r="G15" s="18"/>
      <c r="H15" s="18"/>
      <c r="I15" s="18"/>
      <c r="J15" s="18"/>
      <c r="K15" s="13">
        <f t="shared" si="5"/>
        <v>469281.86557599995</v>
      </c>
      <c r="L15" s="13">
        <v>323285.346721</v>
      </c>
      <c r="M15" s="13">
        <f t="shared" si="6"/>
        <v>145996.518855</v>
      </c>
      <c r="N15" s="13">
        <f>18102.261164+5186.25032</f>
        <v>23288.511484</v>
      </c>
      <c r="O15" s="13">
        <f t="shared" si="7"/>
        <v>122708.007371</v>
      </c>
      <c r="P15" s="13">
        <v>36780.884</v>
      </c>
      <c r="Q15" s="13">
        <f>38389.14+7359</f>
        <v>45748.14</v>
      </c>
      <c r="R15" s="13">
        <f>59467.494855+4000</f>
        <v>63467.494855</v>
      </c>
      <c r="S15" s="15">
        <f t="shared" si="8"/>
        <v>1.4555121646067049</v>
      </c>
      <c r="T15" s="15">
        <f t="shared" si="9"/>
        <v>1.0026932411163183</v>
      </c>
      <c r="U15" s="151"/>
      <c r="V15" s="151"/>
      <c r="W15" s="151"/>
      <c r="X15" s="151"/>
      <c r="Y15" s="151"/>
      <c r="Z15" s="151"/>
    </row>
    <row r="16" spans="1:26" s="76" customFormat="1" ht="30" customHeight="1">
      <c r="A16" s="58">
        <v>6</v>
      </c>
      <c r="B16" s="58" t="s">
        <v>322</v>
      </c>
      <c r="C16" s="18">
        <f t="shared" si="3"/>
        <v>362644</v>
      </c>
      <c r="D16" s="18">
        <v>362644</v>
      </c>
      <c r="E16" s="18">
        <f t="shared" si="4"/>
        <v>0</v>
      </c>
      <c r="F16" s="18"/>
      <c r="G16" s="18"/>
      <c r="H16" s="18"/>
      <c r="I16" s="18"/>
      <c r="J16" s="18"/>
      <c r="K16" s="13">
        <f t="shared" si="5"/>
        <v>492311.427</v>
      </c>
      <c r="L16" s="13">
        <v>362644</v>
      </c>
      <c r="M16" s="13">
        <f t="shared" si="6"/>
        <v>129667.427</v>
      </c>
      <c r="N16" s="13"/>
      <c r="O16" s="13">
        <f t="shared" si="7"/>
        <v>129667.427</v>
      </c>
      <c r="P16" s="13">
        <v>6300</v>
      </c>
      <c r="Q16" s="13">
        <f>37242.09+18593</f>
        <v>55835.09</v>
      </c>
      <c r="R16" s="13">
        <v>67532.337</v>
      </c>
      <c r="S16" s="15">
        <f t="shared" si="8"/>
        <v>1.3575612087887847</v>
      </c>
      <c r="T16" s="15">
        <f t="shared" si="9"/>
        <v>1</v>
      </c>
      <c r="U16" s="151"/>
      <c r="V16" s="151"/>
      <c r="W16" s="151"/>
      <c r="X16" s="151"/>
      <c r="Y16" s="151"/>
      <c r="Z16" s="151"/>
    </row>
    <row r="17" spans="1:26" s="76" customFormat="1" ht="30" customHeight="1">
      <c r="A17" s="58">
        <v>7</v>
      </c>
      <c r="B17" s="58" t="s">
        <v>323</v>
      </c>
      <c r="C17" s="18">
        <f t="shared" si="3"/>
        <v>440740</v>
      </c>
      <c r="D17" s="18">
        <v>440740</v>
      </c>
      <c r="E17" s="18">
        <f t="shared" si="4"/>
        <v>0</v>
      </c>
      <c r="F17" s="18"/>
      <c r="G17" s="18"/>
      <c r="H17" s="18"/>
      <c r="I17" s="18"/>
      <c r="J17" s="18"/>
      <c r="K17" s="13">
        <f t="shared" si="5"/>
        <v>634994.109198</v>
      </c>
      <c r="L17" s="13">
        <v>441700.520198</v>
      </c>
      <c r="M17" s="13">
        <f t="shared" si="6"/>
        <v>193293.589</v>
      </c>
      <c r="N17" s="13">
        <f>22507.28743+936.310535</f>
        <v>23443.597965</v>
      </c>
      <c r="O17" s="13">
        <f t="shared" si="7"/>
        <v>169849.991035</v>
      </c>
      <c r="P17" s="13">
        <v>30136.608</v>
      </c>
      <c r="Q17" s="13">
        <f>50162.981+12341</f>
        <v>62503.981</v>
      </c>
      <c r="R17" s="13">
        <v>100653</v>
      </c>
      <c r="S17" s="15">
        <f t="shared" si="8"/>
        <v>1.4407453582565686</v>
      </c>
      <c r="T17" s="15">
        <f t="shared" si="9"/>
        <v>1.002179335204429</v>
      </c>
      <c r="U17" s="151"/>
      <c r="V17" s="151"/>
      <c r="W17" s="151"/>
      <c r="X17" s="151"/>
      <c r="Y17" s="151"/>
      <c r="Z17" s="151"/>
    </row>
    <row r="18" spans="1:26" s="76" customFormat="1" ht="30" customHeight="1">
      <c r="A18" s="58">
        <v>8</v>
      </c>
      <c r="B18" s="58" t="s">
        <v>277</v>
      </c>
      <c r="C18" s="18">
        <f t="shared" si="3"/>
        <v>194213</v>
      </c>
      <c r="D18" s="18">
        <v>194213</v>
      </c>
      <c r="E18" s="18">
        <f t="shared" si="4"/>
        <v>0</v>
      </c>
      <c r="F18" s="18"/>
      <c r="G18" s="18"/>
      <c r="H18" s="18"/>
      <c r="I18" s="18"/>
      <c r="J18" s="18"/>
      <c r="K18" s="13">
        <f t="shared" si="5"/>
        <v>248449.34</v>
      </c>
      <c r="L18" s="13">
        <v>199115</v>
      </c>
      <c r="M18" s="13">
        <f t="shared" si="6"/>
        <v>49334.34</v>
      </c>
      <c r="N18" s="13"/>
      <c r="O18" s="13">
        <f t="shared" si="7"/>
        <v>49334.34</v>
      </c>
      <c r="P18" s="13">
        <v>3100</v>
      </c>
      <c r="Q18" s="13">
        <f>38181.34+6621</f>
        <v>44802.34</v>
      </c>
      <c r="R18" s="13">
        <v>1432</v>
      </c>
      <c r="S18" s="15">
        <f t="shared" si="8"/>
        <v>1.2792621503194945</v>
      </c>
      <c r="T18" s="15">
        <f t="shared" si="9"/>
        <v>1.0252403289172198</v>
      </c>
      <c r="U18" s="151"/>
      <c r="V18" s="151"/>
      <c r="W18" s="151"/>
      <c r="X18" s="151"/>
      <c r="Y18" s="151"/>
      <c r="Z18" s="151"/>
    </row>
    <row r="19" spans="1:26" s="76" customFormat="1" ht="30" customHeight="1">
      <c r="A19" s="58">
        <v>9</v>
      </c>
      <c r="B19" s="58" t="s">
        <v>325</v>
      </c>
      <c r="C19" s="18">
        <f t="shared" si="3"/>
        <v>105908</v>
      </c>
      <c r="D19" s="18">
        <v>105908</v>
      </c>
      <c r="E19" s="18">
        <f t="shared" si="4"/>
        <v>0</v>
      </c>
      <c r="F19" s="18"/>
      <c r="G19" s="18"/>
      <c r="H19" s="18"/>
      <c r="I19" s="18"/>
      <c r="J19" s="18"/>
      <c r="K19" s="13">
        <f t="shared" si="5"/>
        <v>119727.57</v>
      </c>
      <c r="L19" s="13">
        <v>105908</v>
      </c>
      <c r="M19" s="13">
        <f t="shared" si="6"/>
        <v>13819.57</v>
      </c>
      <c r="N19" s="13"/>
      <c r="O19" s="13">
        <f t="shared" si="7"/>
        <v>13819.57</v>
      </c>
      <c r="P19" s="13">
        <v>3300</v>
      </c>
      <c r="Q19" s="13">
        <f>7573.57+1671</f>
        <v>9244.57</v>
      </c>
      <c r="R19" s="13">
        <v>1275</v>
      </c>
      <c r="S19" s="15">
        <f t="shared" si="8"/>
        <v>1.130486554367942</v>
      </c>
      <c r="T19" s="15">
        <f t="shared" si="9"/>
        <v>1</v>
      </c>
      <c r="U19" s="151"/>
      <c r="V19" s="151"/>
      <c r="W19" s="151"/>
      <c r="X19" s="151"/>
      <c r="Y19" s="151"/>
      <c r="Z19" s="151"/>
    </row>
    <row r="20" spans="1:26" s="76" customFormat="1" ht="30" customHeight="1">
      <c r="A20" s="58">
        <v>10</v>
      </c>
      <c r="B20" s="58" t="s">
        <v>326</v>
      </c>
      <c r="C20" s="18">
        <f t="shared" si="3"/>
        <v>396330</v>
      </c>
      <c r="D20" s="18">
        <v>396330</v>
      </c>
      <c r="E20" s="18">
        <f t="shared" si="4"/>
        <v>0</v>
      </c>
      <c r="F20" s="18"/>
      <c r="G20" s="18"/>
      <c r="H20" s="18"/>
      <c r="I20" s="18"/>
      <c r="J20" s="18"/>
      <c r="K20" s="13">
        <f t="shared" si="5"/>
        <v>531327.980339</v>
      </c>
      <c r="L20" s="13">
        <v>396330</v>
      </c>
      <c r="M20" s="13">
        <f t="shared" si="6"/>
        <v>134997.980339</v>
      </c>
      <c r="N20" s="13"/>
      <c r="O20" s="13">
        <f t="shared" si="7"/>
        <v>134997.980339</v>
      </c>
      <c r="P20" s="13">
        <v>6300</v>
      </c>
      <c r="Q20" s="13">
        <f>39766.83+10582</f>
        <v>50348.83</v>
      </c>
      <c r="R20" s="13">
        <v>78349.150339</v>
      </c>
      <c r="S20" s="15">
        <f t="shared" si="8"/>
        <v>1.3406201406378524</v>
      </c>
      <c r="T20" s="15">
        <f t="shared" si="9"/>
        <v>1</v>
      </c>
      <c r="U20" s="151"/>
      <c r="V20" s="151"/>
      <c r="W20" s="151"/>
      <c r="X20" s="151"/>
      <c r="Y20" s="151"/>
      <c r="Z20" s="151"/>
    </row>
    <row r="21" spans="1:29" s="128" customFormat="1" ht="24.75" customHeight="1">
      <c r="A21" s="77"/>
      <c r="B21" s="78"/>
      <c r="C21" s="19"/>
      <c r="D21" s="19"/>
      <c r="E21" s="19"/>
      <c r="F21" s="19"/>
      <c r="G21" s="19"/>
      <c r="H21" s="19"/>
      <c r="I21" s="19"/>
      <c r="J21" s="19"/>
      <c r="K21" s="16"/>
      <c r="L21" s="16"/>
      <c r="M21" s="16"/>
      <c r="N21" s="16"/>
      <c r="O21" s="16"/>
      <c r="P21" s="16"/>
      <c r="Q21" s="16"/>
      <c r="R21" s="16"/>
      <c r="S21" s="16"/>
      <c r="T21" s="16"/>
      <c r="U21" s="16"/>
      <c r="V21" s="16"/>
      <c r="W21" s="16"/>
      <c r="X21" s="16"/>
      <c r="Y21" s="16"/>
      <c r="Z21" s="16"/>
      <c r="AA21" s="79"/>
      <c r="AB21" s="79"/>
      <c r="AC21" s="79"/>
    </row>
    <row r="22" spans="1:26" s="131" customFormat="1" ht="15.75">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row>
    <row r="23" s="131" customFormat="1" ht="15.75" hidden="1">
      <c r="A23" s="132" t="s">
        <v>390</v>
      </c>
    </row>
    <row r="24" spans="11:12" s="131" customFormat="1" ht="15" hidden="1">
      <c r="K24" s="131">
        <v>5623135.743851</v>
      </c>
      <c r="L24" s="131">
        <v>4489925.157843</v>
      </c>
    </row>
    <row r="25" spans="11:12" s="131" customFormat="1" ht="15" hidden="1">
      <c r="K25" s="133">
        <f>K10-K24</f>
        <v>-776450.2599980002</v>
      </c>
      <c r="L25" s="133">
        <f>L10-L24</f>
        <v>-878831.0063720001</v>
      </c>
    </row>
    <row r="26" s="131" customFormat="1" ht="15" hidden="1">
      <c r="K26" s="133">
        <f>L10+M10</f>
        <v>4846685.483853</v>
      </c>
    </row>
    <row r="27" s="131" customFormat="1" ht="15" hidden="1"/>
    <row r="28" spans="10:11" s="131" customFormat="1" ht="15" hidden="1">
      <c r="J28" s="131" t="s">
        <v>388</v>
      </c>
      <c r="K28" s="134">
        <v>52875.735815</v>
      </c>
    </row>
    <row r="29" spans="10:11" s="131" customFormat="1" ht="15" hidden="1">
      <c r="J29" s="131" t="s">
        <v>389</v>
      </c>
      <c r="K29" s="133">
        <v>488981.883781</v>
      </c>
    </row>
    <row r="30" s="131" customFormat="1" ht="15" hidden="1">
      <c r="K30" s="134">
        <f>K28+K29</f>
        <v>541857.619596</v>
      </c>
    </row>
    <row r="31" s="131" customFormat="1" ht="15"/>
    <row r="32" ht="15">
      <c r="L32" s="7"/>
    </row>
  </sheetData>
  <sheetProtection/>
  <mergeCells count="33">
    <mergeCell ref="Y7:Y8"/>
    <mergeCell ref="Z7:Z8"/>
    <mergeCell ref="T6:T8"/>
    <mergeCell ref="U6:Z6"/>
    <mergeCell ref="V7:W7"/>
    <mergeCell ref="S6:S8"/>
    <mergeCell ref="X7:X8"/>
    <mergeCell ref="F7:G7"/>
    <mergeCell ref="H7:H8"/>
    <mergeCell ref="I7:I8"/>
    <mergeCell ref="J7:J8"/>
    <mergeCell ref="R7:R8"/>
    <mergeCell ref="U7:U8"/>
    <mergeCell ref="A5:A8"/>
    <mergeCell ref="B5:B8"/>
    <mergeCell ref="C5:J5"/>
    <mergeCell ref="K5:R5"/>
    <mergeCell ref="M6:R6"/>
    <mergeCell ref="E6:J6"/>
    <mergeCell ref="K6:K8"/>
    <mergeCell ref="L6:L8"/>
    <mergeCell ref="E7:E8"/>
    <mergeCell ref="M7:M8"/>
    <mergeCell ref="X1:Z1"/>
    <mergeCell ref="X4:Z4"/>
    <mergeCell ref="S5:Z5"/>
    <mergeCell ref="C6:C8"/>
    <mergeCell ref="D6:D8"/>
    <mergeCell ref="A2:Z2"/>
    <mergeCell ref="A3:Z3"/>
    <mergeCell ref="N7:O7"/>
    <mergeCell ref="P7:P8"/>
    <mergeCell ref="Q7:Q8"/>
  </mergeCells>
  <printOptions horizontalCentered="1"/>
  <pageMargins left="0" right="0" top="0.5" bottom="0" header="0.3" footer="0.3"/>
  <pageSetup horizontalDpi="300" verticalDpi="300" orientation="landscape" paperSize="9" scale="57" r:id="rId1"/>
</worksheet>
</file>

<file path=xl/worksheets/sheet2.xml><?xml version="1.0" encoding="utf-8"?>
<worksheet xmlns="http://schemas.openxmlformats.org/spreadsheetml/2006/main" xmlns:r="http://schemas.openxmlformats.org/officeDocument/2006/relationships">
  <sheetPr>
    <tabColor indexed="33"/>
  </sheetPr>
  <dimension ref="A1:J57"/>
  <sheetViews>
    <sheetView zoomScalePageLayoutView="0" workbookViewId="0" topLeftCell="A1">
      <selection activeCell="A5" sqref="A5"/>
    </sheetView>
  </sheetViews>
  <sheetFormatPr defaultColWidth="9.140625" defaultRowHeight="15"/>
  <cols>
    <col min="1" max="1" width="5.421875" style="229" customWidth="1"/>
    <col min="2" max="2" width="54.7109375" style="229" customWidth="1"/>
    <col min="3" max="3" width="19.00390625" style="229" customWidth="1"/>
    <col min="4" max="4" width="18.8515625" style="229" customWidth="1"/>
    <col min="5" max="5" width="18.421875" style="229" customWidth="1"/>
    <col min="6" max="6" width="16.140625" style="229" customWidth="1"/>
    <col min="7" max="7" width="11.140625" style="229" customWidth="1"/>
    <col min="8" max="16384" width="9.140625" style="229" customWidth="1"/>
  </cols>
  <sheetData>
    <row r="1" spans="1:6" s="228" customFormat="1" ht="11.25" customHeight="1">
      <c r="A1" s="355"/>
      <c r="B1" s="355"/>
      <c r="F1" s="88" t="s">
        <v>474</v>
      </c>
    </row>
    <row r="2" spans="1:2" ht="4.5" customHeight="1">
      <c r="A2" s="356"/>
      <c r="B2" s="356"/>
    </row>
    <row r="3" spans="1:6" ht="18.75">
      <c r="A3" s="357" t="s">
        <v>475</v>
      </c>
      <c r="B3" s="357"/>
      <c r="C3" s="357"/>
      <c r="D3" s="357"/>
      <c r="E3" s="357"/>
      <c r="F3" s="357"/>
    </row>
    <row r="4" spans="1:6" ht="15.75">
      <c r="A4" s="358" t="str">
        <f>'Biểu 01'!A4:F4</f>
        <v>(Kèm theo Nghị quyết  số 111/NQ-HĐND ngày  10 tháng  7  năm 2019 của Hội đồng nhân dân tỉnh Điện Biên)</v>
      </c>
      <c r="B4" s="358"/>
      <c r="C4" s="358"/>
      <c r="D4" s="358"/>
      <c r="E4" s="358"/>
      <c r="F4" s="358"/>
    </row>
    <row r="5" ht="6" customHeight="1">
      <c r="D5" s="230"/>
    </row>
    <row r="6" spans="4:6" ht="15.75">
      <c r="D6" s="230"/>
      <c r="E6" s="345" t="s">
        <v>363</v>
      </c>
      <c r="F6" s="345"/>
    </row>
    <row r="7" spans="1:6" ht="24" customHeight="1">
      <c r="A7" s="359" t="s">
        <v>476</v>
      </c>
      <c r="B7" s="359" t="s">
        <v>204</v>
      </c>
      <c r="C7" s="348" t="s">
        <v>425</v>
      </c>
      <c r="D7" s="333" t="s">
        <v>426</v>
      </c>
      <c r="E7" s="338" t="s">
        <v>427</v>
      </c>
      <c r="F7" s="335" t="s">
        <v>428</v>
      </c>
    </row>
    <row r="8" spans="1:6" ht="39.75" customHeight="1">
      <c r="A8" s="359"/>
      <c r="B8" s="359"/>
      <c r="C8" s="349"/>
      <c r="D8" s="334"/>
      <c r="E8" s="339"/>
      <c r="F8" s="335"/>
    </row>
    <row r="9" spans="1:6" s="231" customFormat="1" ht="12.75" customHeight="1">
      <c r="A9" s="154" t="s">
        <v>360</v>
      </c>
      <c r="B9" s="154" t="s">
        <v>361</v>
      </c>
      <c r="C9" s="154">
        <v>1</v>
      </c>
      <c r="D9" s="154">
        <v>2</v>
      </c>
      <c r="E9" s="154" t="s">
        <v>429</v>
      </c>
      <c r="F9" s="154">
        <v>4</v>
      </c>
    </row>
    <row r="10" spans="1:10" ht="24.75" customHeight="1">
      <c r="A10" s="152"/>
      <c r="B10" s="152" t="s">
        <v>383</v>
      </c>
      <c r="C10" s="92">
        <f>SUM(C11,C28,C29,C43,C44,C45)</f>
        <v>10386677.602113</v>
      </c>
      <c r="D10" s="92">
        <f>SUM(D11,D28,D29,D43,D44,D45)</f>
        <v>116355.96907299977</v>
      </c>
      <c r="E10" s="92">
        <v>10503034</v>
      </c>
      <c r="F10" s="232"/>
      <c r="G10" s="233"/>
      <c r="J10" s="233"/>
    </row>
    <row r="11" spans="1:7" ht="24.75" customHeight="1">
      <c r="A11" s="23" t="s">
        <v>369</v>
      </c>
      <c r="B11" s="24" t="s">
        <v>136</v>
      </c>
      <c r="C11" s="98">
        <f>SUM(C12,C26,C27)</f>
        <v>1995365</v>
      </c>
      <c r="D11" s="98">
        <f>SUM(D12,D26,D27)</f>
        <v>0</v>
      </c>
      <c r="E11" s="98">
        <v>1995365</v>
      </c>
      <c r="F11" s="234"/>
      <c r="G11" s="235"/>
    </row>
    <row r="12" spans="1:7" ht="43.5" customHeight="1">
      <c r="A12" s="23">
        <v>1</v>
      </c>
      <c r="B12" s="24" t="s">
        <v>207</v>
      </c>
      <c r="C12" s="98">
        <f>SUM(C13:C25)</f>
        <v>1992515</v>
      </c>
      <c r="D12" s="98">
        <f>SUM(D13:D25)</f>
        <v>0</v>
      </c>
      <c r="E12" s="98">
        <f>SUM(E13:E25)</f>
        <v>1992515</v>
      </c>
      <c r="F12" s="236"/>
      <c r="G12" s="235"/>
    </row>
    <row r="13" spans="1:6" ht="24.75" customHeight="1">
      <c r="A13" s="27" t="s">
        <v>155</v>
      </c>
      <c r="B13" s="28" t="s">
        <v>303</v>
      </c>
      <c r="C13" s="101">
        <v>41404</v>
      </c>
      <c r="D13" s="101"/>
      <c r="E13" s="101">
        <v>41404</v>
      </c>
      <c r="F13" s="237"/>
    </row>
    <row r="14" spans="1:6" ht="24.75" customHeight="1">
      <c r="A14" s="27" t="s">
        <v>157</v>
      </c>
      <c r="B14" s="28" t="s">
        <v>304</v>
      </c>
      <c r="C14" s="101">
        <v>5953</v>
      </c>
      <c r="D14" s="101"/>
      <c r="E14" s="101">
        <v>5953</v>
      </c>
      <c r="F14" s="237"/>
    </row>
    <row r="15" spans="1:6" ht="24.75" customHeight="1">
      <c r="A15" s="27" t="s">
        <v>159</v>
      </c>
      <c r="B15" s="28" t="s">
        <v>208</v>
      </c>
      <c r="C15" s="101">
        <v>317434</v>
      </c>
      <c r="D15" s="101"/>
      <c r="E15" s="101">
        <v>317434</v>
      </c>
      <c r="F15" s="237"/>
    </row>
    <row r="16" spans="1:6" ht="24.75" customHeight="1">
      <c r="A16" s="27" t="s">
        <v>161</v>
      </c>
      <c r="B16" s="28" t="s">
        <v>209</v>
      </c>
      <c r="C16" s="101">
        <v>8629</v>
      </c>
      <c r="D16" s="101"/>
      <c r="E16" s="101">
        <v>8629</v>
      </c>
      <c r="F16" s="237"/>
    </row>
    <row r="17" spans="1:6" ht="24.75" customHeight="1">
      <c r="A17" s="27" t="s">
        <v>163</v>
      </c>
      <c r="B17" s="28" t="s">
        <v>210</v>
      </c>
      <c r="C17" s="101">
        <v>30158</v>
      </c>
      <c r="D17" s="101"/>
      <c r="E17" s="101">
        <v>30158</v>
      </c>
      <c r="F17" s="237"/>
    </row>
    <row r="18" spans="1:6" ht="24.75" customHeight="1">
      <c r="A18" s="27" t="s">
        <v>211</v>
      </c>
      <c r="B18" s="28" t="s">
        <v>212</v>
      </c>
      <c r="C18" s="101">
        <v>21509</v>
      </c>
      <c r="D18" s="101"/>
      <c r="E18" s="101">
        <v>21509</v>
      </c>
      <c r="F18" s="237"/>
    </row>
    <row r="19" spans="1:6" ht="24.75" customHeight="1">
      <c r="A19" s="27" t="s">
        <v>213</v>
      </c>
      <c r="B19" s="28" t="s">
        <v>214</v>
      </c>
      <c r="C19" s="101">
        <v>1955</v>
      </c>
      <c r="D19" s="101"/>
      <c r="E19" s="101">
        <v>1955</v>
      </c>
      <c r="F19" s="237"/>
    </row>
    <row r="20" spans="1:6" ht="24.75" customHeight="1">
      <c r="A20" s="27" t="s">
        <v>215</v>
      </c>
      <c r="B20" s="28" t="s">
        <v>216</v>
      </c>
      <c r="C20" s="101">
        <v>6679</v>
      </c>
      <c r="D20" s="101"/>
      <c r="E20" s="101">
        <v>6679</v>
      </c>
      <c r="F20" s="237"/>
    </row>
    <row r="21" spans="1:6" ht="24.75" customHeight="1">
      <c r="A21" s="27" t="s">
        <v>217</v>
      </c>
      <c r="B21" s="28" t="s">
        <v>218</v>
      </c>
      <c r="C21" s="101">
        <v>30572</v>
      </c>
      <c r="D21" s="101"/>
      <c r="E21" s="101">
        <v>30572</v>
      </c>
      <c r="F21" s="237"/>
    </row>
    <row r="22" spans="1:6" ht="24.75" customHeight="1">
      <c r="A22" s="27" t="s">
        <v>219</v>
      </c>
      <c r="B22" s="28" t="s">
        <v>305</v>
      </c>
      <c r="C22" s="101">
        <v>1292474</v>
      </c>
      <c r="D22" s="101"/>
      <c r="E22" s="101">
        <v>1292474</v>
      </c>
      <c r="F22" s="237"/>
    </row>
    <row r="23" spans="1:6" ht="34.5" customHeight="1">
      <c r="A23" s="27" t="s">
        <v>220</v>
      </c>
      <c r="B23" s="28" t="s">
        <v>221</v>
      </c>
      <c r="C23" s="101">
        <v>143699</v>
      </c>
      <c r="D23" s="101"/>
      <c r="E23" s="101">
        <v>143699</v>
      </c>
      <c r="F23" s="237"/>
    </row>
    <row r="24" spans="1:6" ht="24.75" customHeight="1">
      <c r="A24" s="27" t="s">
        <v>222</v>
      </c>
      <c r="B24" s="28" t="s">
        <v>223</v>
      </c>
      <c r="C24" s="101">
        <v>368</v>
      </c>
      <c r="D24" s="101"/>
      <c r="E24" s="101">
        <v>368</v>
      </c>
      <c r="F24" s="237"/>
    </row>
    <row r="25" spans="1:6" ht="24.75" customHeight="1">
      <c r="A25" s="27" t="s">
        <v>224</v>
      </c>
      <c r="B25" s="28" t="s">
        <v>225</v>
      </c>
      <c r="C25" s="101">
        <v>91681</v>
      </c>
      <c r="D25" s="101"/>
      <c r="E25" s="101">
        <v>91681</v>
      </c>
      <c r="F25" s="237"/>
    </row>
    <row r="26" spans="1:6" ht="31.5">
      <c r="A26" s="23">
        <v>2</v>
      </c>
      <c r="B26" s="24" t="s">
        <v>226</v>
      </c>
      <c r="C26" s="98">
        <v>2350</v>
      </c>
      <c r="D26" s="101"/>
      <c r="E26" s="98">
        <v>2350</v>
      </c>
      <c r="F26" s="237"/>
    </row>
    <row r="27" spans="1:7" ht="24.75" customHeight="1">
      <c r="A27" s="23">
        <v>3</v>
      </c>
      <c r="B27" s="24" t="s">
        <v>149</v>
      </c>
      <c r="C27" s="98">
        <v>500</v>
      </c>
      <c r="D27" s="98"/>
      <c r="E27" s="98">
        <v>500</v>
      </c>
      <c r="F27" s="236"/>
      <c r="G27" s="235"/>
    </row>
    <row r="28" spans="1:7" ht="24.75" customHeight="1">
      <c r="A28" s="23" t="s">
        <v>365</v>
      </c>
      <c r="B28" s="24" t="s">
        <v>227</v>
      </c>
      <c r="C28" s="98">
        <v>1681.227623</v>
      </c>
      <c r="D28" s="101"/>
      <c r="E28" s="98">
        <v>1681.227623</v>
      </c>
      <c r="F28" s="237"/>
      <c r="G28" s="235"/>
    </row>
    <row r="29" spans="1:7" ht="24.75" customHeight="1">
      <c r="A29" s="23" t="s">
        <v>366</v>
      </c>
      <c r="B29" s="24" t="s">
        <v>373</v>
      </c>
      <c r="C29" s="98">
        <f>SUM(C30:C42)</f>
        <v>6450133.107348</v>
      </c>
      <c r="D29" s="98">
        <f>SUM(D30:D42)</f>
        <v>109242.16865299977</v>
      </c>
      <c r="E29" s="98">
        <v>6559375</v>
      </c>
      <c r="F29" s="238"/>
      <c r="G29" s="235"/>
    </row>
    <row r="30" spans="1:7" ht="24.75" customHeight="1">
      <c r="A30" s="27" t="s">
        <v>228</v>
      </c>
      <c r="B30" s="28" t="s">
        <v>303</v>
      </c>
      <c r="C30" s="101">
        <v>152615.645299</v>
      </c>
      <c r="D30" s="101">
        <v>267</v>
      </c>
      <c r="E30" s="101">
        <f>C30+D30</f>
        <v>152882.645299</v>
      </c>
      <c r="F30" s="237"/>
      <c r="G30" s="235"/>
    </row>
    <row r="31" spans="1:6" ht="24.75" customHeight="1">
      <c r="A31" s="27" t="s">
        <v>229</v>
      </c>
      <c r="B31" s="28" t="s">
        <v>304</v>
      </c>
      <c r="C31" s="101">
        <v>55841.183844</v>
      </c>
      <c r="D31" s="101">
        <v>210</v>
      </c>
      <c r="E31" s="101">
        <f aca="true" t="shared" si="0" ref="E31:E42">C31+D31</f>
        <v>56051.183844</v>
      </c>
      <c r="F31" s="237"/>
    </row>
    <row r="32" spans="1:6" ht="24.75" customHeight="1">
      <c r="A32" s="27" t="s">
        <v>230</v>
      </c>
      <c r="B32" s="28" t="s">
        <v>208</v>
      </c>
      <c r="C32" s="101">
        <v>3082557.661395</v>
      </c>
      <c r="D32" s="101">
        <v>82276.88826199982</v>
      </c>
      <c r="E32" s="101">
        <f t="shared" si="0"/>
        <v>3164834.5496569998</v>
      </c>
      <c r="F32" s="237"/>
    </row>
    <row r="33" spans="1:6" ht="24.75" customHeight="1">
      <c r="A33" s="27" t="s">
        <v>231</v>
      </c>
      <c r="B33" s="28" t="s">
        <v>209</v>
      </c>
      <c r="C33" s="101">
        <v>14413.096657</v>
      </c>
      <c r="D33" s="101">
        <v>0</v>
      </c>
      <c r="E33" s="101">
        <f t="shared" si="0"/>
        <v>14413.096657</v>
      </c>
      <c r="F33" s="237"/>
    </row>
    <row r="34" spans="1:6" ht="24.75" customHeight="1">
      <c r="A34" s="27" t="s">
        <v>232</v>
      </c>
      <c r="B34" s="28" t="s">
        <v>210</v>
      </c>
      <c r="C34" s="101">
        <v>662595.304995</v>
      </c>
      <c r="D34" s="101">
        <v>0</v>
      </c>
      <c r="E34" s="101">
        <f t="shared" si="0"/>
        <v>662595.304995</v>
      </c>
      <c r="F34" s="237"/>
    </row>
    <row r="35" spans="1:6" ht="24.75" customHeight="1">
      <c r="A35" s="27" t="s">
        <v>233</v>
      </c>
      <c r="B35" s="28" t="s">
        <v>212</v>
      </c>
      <c r="C35" s="101">
        <v>86483.701575</v>
      </c>
      <c r="D35" s="101">
        <v>451</v>
      </c>
      <c r="E35" s="101">
        <f t="shared" si="0"/>
        <v>86934.701575</v>
      </c>
      <c r="F35" s="237"/>
    </row>
    <row r="36" spans="1:6" ht="24.75" customHeight="1">
      <c r="A36" s="27" t="s">
        <v>234</v>
      </c>
      <c r="B36" s="28" t="s">
        <v>214</v>
      </c>
      <c r="C36" s="101">
        <v>45211.865332999994</v>
      </c>
      <c r="D36" s="101">
        <v>236</v>
      </c>
      <c r="E36" s="101">
        <f t="shared" si="0"/>
        <v>45447.865332999994</v>
      </c>
      <c r="F36" s="237"/>
    </row>
    <row r="37" spans="1:6" ht="24.75" customHeight="1">
      <c r="A37" s="27" t="s">
        <v>235</v>
      </c>
      <c r="B37" s="28" t="s">
        <v>216</v>
      </c>
      <c r="C37" s="101">
        <v>20040.774578</v>
      </c>
      <c r="D37" s="101">
        <v>58</v>
      </c>
      <c r="E37" s="101">
        <f t="shared" si="0"/>
        <v>20098.774578</v>
      </c>
      <c r="F37" s="237"/>
    </row>
    <row r="38" spans="1:6" s="240" customFormat="1" ht="24.75" customHeight="1">
      <c r="A38" s="29" t="s">
        <v>236</v>
      </c>
      <c r="B38" s="30" t="s">
        <v>218</v>
      </c>
      <c r="C38" s="101">
        <v>69495.182143</v>
      </c>
      <c r="D38" s="156">
        <v>54.00000000000364</v>
      </c>
      <c r="E38" s="101">
        <f t="shared" si="0"/>
        <v>69549.182143</v>
      </c>
      <c r="F38" s="239"/>
    </row>
    <row r="39" spans="1:6" ht="24.75" customHeight="1">
      <c r="A39" s="27" t="s">
        <v>237</v>
      </c>
      <c r="B39" s="28" t="s">
        <v>305</v>
      </c>
      <c r="C39" s="101">
        <v>796171.3361140001</v>
      </c>
      <c r="D39" s="101">
        <v>682.9969999999739</v>
      </c>
      <c r="E39" s="101">
        <f t="shared" si="0"/>
        <v>796854.333114</v>
      </c>
      <c r="F39" s="237"/>
    </row>
    <row r="40" spans="1:6" ht="36" customHeight="1">
      <c r="A40" s="27" t="s">
        <v>238</v>
      </c>
      <c r="B40" s="28" t="s">
        <v>221</v>
      </c>
      <c r="C40" s="101">
        <v>1246794.138577</v>
      </c>
      <c r="D40" s="101">
        <v>24465.253390999977</v>
      </c>
      <c r="E40" s="101">
        <f t="shared" si="0"/>
        <v>1271259.391968</v>
      </c>
      <c r="F40" s="237"/>
    </row>
    <row r="41" spans="1:6" ht="24.75" customHeight="1">
      <c r="A41" s="27" t="s">
        <v>239</v>
      </c>
      <c r="B41" s="28" t="s">
        <v>223</v>
      </c>
      <c r="C41" s="101">
        <v>204540.697946</v>
      </c>
      <c r="D41" s="101">
        <v>541.0299999999916</v>
      </c>
      <c r="E41" s="101">
        <f t="shared" si="0"/>
        <v>205081.727946</v>
      </c>
      <c r="F41" s="237"/>
    </row>
    <row r="42" spans="1:6" ht="24.75" customHeight="1">
      <c r="A42" s="27" t="s">
        <v>240</v>
      </c>
      <c r="B42" s="28" t="s">
        <v>241</v>
      </c>
      <c r="C42" s="101">
        <v>13372.518891999998</v>
      </c>
      <c r="D42" s="101">
        <v>0</v>
      </c>
      <c r="E42" s="101">
        <f t="shared" si="0"/>
        <v>13372.518891999998</v>
      </c>
      <c r="F42" s="237"/>
    </row>
    <row r="43" spans="1:6" ht="24.75" customHeight="1">
      <c r="A43" s="23" t="s">
        <v>367</v>
      </c>
      <c r="B43" s="24" t="s">
        <v>120</v>
      </c>
      <c r="C43" s="98">
        <v>1000</v>
      </c>
      <c r="D43" s="98"/>
      <c r="E43" s="98">
        <v>1000</v>
      </c>
      <c r="F43" s="237"/>
    </row>
    <row r="44" spans="1:7" s="240" customFormat="1" ht="24.75" customHeight="1">
      <c r="A44" s="31" t="s">
        <v>381</v>
      </c>
      <c r="B44" s="32" t="s">
        <v>244</v>
      </c>
      <c r="C44" s="155">
        <v>1765989.20658</v>
      </c>
      <c r="D44" s="155">
        <f>E44-C44</f>
        <v>5742.793420000002</v>
      </c>
      <c r="E44" s="155">
        <v>1771732</v>
      </c>
      <c r="F44" s="239"/>
      <c r="G44" s="241"/>
    </row>
    <row r="45" spans="1:7" s="240" customFormat="1" ht="24.75" customHeight="1">
      <c r="A45" s="31" t="s">
        <v>150</v>
      </c>
      <c r="B45" s="32" t="s">
        <v>477</v>
      </c>
      <c r="C45" s="155">
        <v>172509.060562</v>
      </c>
      <c r="D45" s="155">
        <v>1371.007</v>
      </c>
      <c r="E45" s="155">
        <v>173880</v>
      </c>
      <c r="F45" s="242"/>
      <c r="G45" s="241"/>
    </row>
    <row r="46" spans="1:7" ht="24.75" customHeight="1">
      <c r="A46" s="34"/>
      <c r="B46" s="35"/>
      <c r="C46" s="243"/>
      <c r="D46" s="243"/>
      <c r="E46" s="243"/>
      <c r="F46" s="243"/>
      <c r="G46" s="235"/>
    </row>
    <row r="47" ht="15.75">
      <c r="A47" s="244"/>
    </row>
    <row r="48" spans="1:6" s="245" customFormat="1" ht="15.75" customHeight="1">
      <c r="A48" s="351"/>
      <c r="B48" s="351"/>
      <c r="C48" s="351"/>
      <c r="D48" s="351"/>
      <c r="E48" s="352"/>
      <c r="F48" s="352"/>
    </row>
    <row r="49" spans="1:6" ht="29.25" customHeight="1">
      <c r="A49" s="353"/>
      <c r="B49" s="353"/>
      <c r="C49" s="353"/>
      <c r="D49" s="353"/>
      <c r="E49" s="354"/>
      <c r="F49" s="354"/>
    </row>
    <row r="50" spans="1:6" ht="15.75">
      <c r="A50" s="350"/>
      <c r="B50" s="350"/>
      <c r="C50" s="350"/>
      <c r="D50" s="350"/>
      <c r="F50" s="246"/>
    </row>
    <row r="51" spans="1:6" ht="15.75">
      <c r="A51" s="246"/>
      <c r="B51" s="246"/>
      <c r="C51" s="246"/>
      <c r="D51" s="246"/>
      <c r="F51" s="246"/>
    </row>
    <row r="52" spans="1:6" ht="15.75">
      <c r="A52" s="246"/>
      <c r="B52" s="246"/>
      <c r="C52" s="246"/>
      <c r="D52" s="246"/>
      <c r="F52" s="246"/>
    </row>
    <row r="53" spans="1:6" ht="26.25" customHeight="1">
      <c r="A53" s="246"/>
      <c r="B53" s="246"/>
      <c r="C53" s="246"/>
      <c r="D53" s="246"/>
      <c r="F53" s="246"/>
    </row>
    <row r="54" spans="1:6" ht="15.75">
      <c r="A54" s="247"/>
      <c r="D54" s="230"/>
      <c r="E54" s="230"/>
      <c r="F54" s="230"/>
    </row>
    <row r="55" ht="15.75">
      <c r="A55" s="248"/>
    </row>
    <row r="56" ht="15.75">
      <c r="A56" s="248"/>
    </row>
    <row r="57" ht="15.75">
      <c r="A57" s="248"/>
    </row>
  </sheetData>
  <sheetProtection/>
  <mergeCells count="19">
    <mergeCell ref="A1:B1"/>
    <mergeCell ref="A2:B2"/>
    <mergeCell ref="A3:F3"/>
    <mergeCell ref="A4:F4"/>
    <mergeCell ref="E6:F6"/>
    <mergeCell ref="A7:A8"/>
    <mergeCell ref="B7:B8"/>
    <mergeCell ref="C7:C8"/>
    <mergeCell ref="D7:D8"/>
    <mergeCell ref="E7:E8"/>
    <mergeCell ref="F7:F8"/>
    <mergeCell ref="A50:B50"/>
    <mergeCell ref="C50:D50"/>
    <mergeCell ref="A48:B48"/>
    <mergeCell ref="C48:D48"/>
    <mergeCell ref="E48:F48"/>
    <mergeCell ref="A49:B49"/>
    <mergeCell ref="C49:D49"/>
    <mergeCell ref="E49:F49"/>
  </mergeCells>
  <printOptions horizontalCentered="1"/>
  <pageMargins left="0" right="0" top="0" bottom="0" header="0.5" footer="0.5"/>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tabColor indexed="33"/>
  </sheetPr>
  <dimension ref="A1:J44"/>
  <sheetViews>
    <sheetView zoomScalePageLayoutView="0" workbookViewId="0" topLeftCell="A1">
      <pane xSplit="2" ySplit="7" topLeftCell="C30" activePane="bottomRight" state="frozen"/>
      <selection pane="topLeft" activeCell="A1" sqref="A1"/>
      <selection pane="topRight" activeCell="C1" sqref="C1"/>
      <selection pane="bottomLeft" activeCell="A8" sqref="A8"/>
      <selection pane="bottomRight" activeCell="B39" sqref="B39"/>
    </sheetView>
  </sheetViews>
  <sheetFormatPr defaultColWidth="9.140625" defaultRowHeight="15"/>
  <cols>
    <col min="1" max="1" width="6.28125" style="162" customWidth="1"/>
    <col min="2" max="2" width="45.421875" style="162" customWidth="1"/>
    <col min="3" max="3" width="13.421875" style="162" customWidth="1"/>
    <col min="4" max="4" width="16.421875" style="162" customWidth="1"/>
    <col min="5" max="5" width="16.28125" style="162" customWidth="1"/>
    <col min="6" max="6" width="12.140625" style="162" customWidth="1"/>
    <col min="7" max="7" width="9.140625" style="162" customWidth="1"/>
    <col min="8" max="8" width="12.7109375" style="162" bestFit="1" customWidth="1"/>
    <col min="9" max="9" width="20.421875" style="162" customWidth="1"/>
    <col min="10" max="10" width="19.421875" style="162" customWidth="1"/>
    <col min="11" max="16384" width="9.140625" style="162" customWidth="1"/>
  </cols>
  <sheetData>
    <row r="1" ht="15.75">
      <c r="F1" s="88" t="s">
        <v>310</v>
      </c>
    </row>
    <row r="2" spans="1:6" ht="45.75" customHeight="1">
      <c r="A2" s="360" t="s">
        <v>478</v>
      </c>
      <c r="B2" s="360"/>
      <c r="C2" s="360"/>
      <c r="D2" s="360"/>
      <c r="E2" s="360"/>
      <c r="F2" s="360"/>
    </row>
    <row r="3" spans="1:6" ht="16.5">
      <c r="A3" s="351" t="str">
        <f>'Biểu 01'!A4:F4</f>
        <v>(Kèm theo Nghị quyết  số 111/NQ-HĐND ngày  10 tháng  7  năm 2019 của Hội đồng nhân dân tỉnh Điện Biên)</v>
      </c>
      <c r="B3" s="351"/>
      <c r="C3" s="351"/>
      <c r="D3" s="351"/>
      <c r="E3" s="351"/>
      <c r="F3" s="351"/>
    </row>
    <row r="4" ht="15.75">
      <c r="F4" s="135" t="s">
        <v>363</v>
      </c>
    </row>
    <row r="5" spans="1:6" ht="15.75">
      <c r="A5" s="359" t="s">
        <v>358</v>
      </c>
      <c r="B5" s="359" t="s">
        <v>395</v>
      </c>
      <c r="C5" s="359" t="s">
        <v>307</v>
      </c>
      <c r="D5" s="359" t="s">
        <v>331</v>
      </c>
      <c r="E5" s="359" t="s">
        <v>114</v>
      </c>
      <c r="F5" s="359"/>
    </row>
    <row r="6" spans="1:6" ht="31.5">
      <c r="A6" s="359"/>
      <c r="B6" s="359"/>
      <c r="C6" s="359"/>
      <c r="D6" s="359"/>
      <c r="E6" s="22" t="s">
        <v>115</v>
      </c>
      <c r="F6" s="22" t="s">
        <v>146</v>
      </c>
    </row>
    <row r="7" spans="1:6" s="164" customFormat="1" ht="15.75">
      <c r="A7" s="163" t="s">
        <v>360</v>
      </c>
      <c r="B7" s="163" t="s">
        <v>361</v>
      </c>
      <c r="C7" s="163">
        <v>1</v>
      </c>
      <c r="D7" s="163">
        <v>2</v>
      </c>
      <c r="E7" s="163" t="s">
        <v>131</v>
      </c>
      <c r="F7" s="163" t="s">
        <v>132</v>
      </c>
    </row>
    <row r="8" spans="1:9" ht="15.75">
      <c r="A8" s="165" t="s">
        <v>360</v>
      </c>
      <c r="B8" s="57" t="s">
        <v>116</v>
      </c>
      <c r="C8" s="166">
        <f>SUM(C9,C12,C15,C16,C17)</f>
        <v>7779883</v>
      </c>
      <c r="D8" s="167">
        <f>SUM(D9,D12,D15,D16,D1,D17,D18,D198,D19)</f>
        <v>10702076.522550998</v>
      </c>
      <c r="E8" s="167">
        <f>D8-C8</f>
        <v>2922193.5225509983</v>
      </c>
      <c r="F8" s="168">
        <f>D8/C8</f>
        <v>1.3756089291511193</v>
      </c>
      <c r="H8" s="169"/>
      <c r="I8" s="170"/>
    </row>
    <row r="9" spans="1:9" ht="15.75">
      <c r="A9" s="23" t="s">
        <v>369</v>
      </c>
      <c r="B9" s="24" t="s">
        <v>133</v>
      </c>
      <c r="C9" s="38">
        <f>SUM(C10:C11)</f>
        <v>947500</v>
      </c>
      <c r="D9" s="36">
        <f>SUM(D10:D11)</f>
        <v>983166.072494</v>
      </c>
      <c r="E9" s="36">
        <f aca="true" t="shared" si="0" ref="E9:E43">D9-C9</f>
        <v>35666.07249399996</v>
      </c>
      <c r="F9" s="99">
        <f aca="true" t="shared" si="1" ref="F9:F14">D9/C9</f>
        <v>1.037642292869657</v>
      </c>
      <c r="I9" s="170"/>
    </row>
    <row r="10" spans="1:9" ht="15.75">
      <c r="A10" s="27" t="s">
        <v>362</v>
      </c>
      <c r="B10" s="28" t="s">
        <v>134</v>
      </c>
      <c r="C10" s="84">
        <v>408703</v>
      </c>
      <c r="D10" s="37">
        <v>539404.367824</v>
      </c>
      <c r="E10" s="37">
        <f t="shared" si="0"/>
        <v>130701.36782399996</v>
      </c>
      <c r="F10" s="102">
        <f t="shared" si="1"/>
        <v>1.3197954696295353</v>
      </c>
      <c r="H10" s="169"/>
      <c r="I10" s="170"/>
    </row>
    <row r="11" spans="1:9" ht="15.75">
      <c r="A11" s="27" t="s">
        <v>362</v>
      </c>
      <c r="B11" s="28" t="s">
        <v>135</v>
      </c>
      <c r="C11" s="37">
        <v>538797</v>
      </c>
      <c r="D11" s="37">
        <v>443761.70467</v>
      </c>
      <c r="E11" s="37">
        <f>D11-C11</f>
        <v>-95035.29533</v>
      </c>
      <c r="F11" s="102">
        <f t="shared" si="1"/>
        <v>0.8236157674782896</v>
      </c>
      <c r="I11" s="170"/>
    </row>
    <row r="12" spans="1:6" ht="15.75">
      <c r="A12" s="23" t="s">
        <v>365</v>
      </c>
      <c r="B12" s="24" t="s">
        <v>332</v>
      </c>
      <c r="C12" s="36">
        <f>SUM(C13:C14)</f>
        <v>6832383</v>
      </c>
      <c r="D12" s="36">
        <f>SUM(D13:D14)</f>
        <v>8150131.942152</v>
      </c>
      <c r="E12" s="36">
        <f t="shared" si="0"/>
        <v>1317748.942152</v>
      </c>
      <c r="F12" s="99">
        <f t="shared" si="1"/>
        <v>1.1928681313901752</v>
      </c>
    </row>
    <row r="13" spans="1:6" ht="15.75">
      <c r="A13" s="27">
        <v>1</v>
      </c>
      <c r="B13" s="28" t="s">
        <v>117</v>
      </c>
      <c r="C13" s="37">
        <v>5666899</v>
      </c>
      <c r="D13" s="82">
        <v>5666899</v>
      </c>
      <c r="E13" s="37">
        <f t="shared" si="0"/>
        <v>0</v>
      </c>
      <c r="F13" s="102">
        <f t="shared" si="1"/>
        <v>1</v>
      </c>
    </row>
    <row r="14" spans="1:6" ht="15.75">
      <c r="A14" s="27">
        <v>2</v>
      </c>
      <c r="B14" s="28" t="s">
        <v>370</v>
      </c>
      <c r="C14" s="37">
        <v>1165484</v>
      </c>
      <c r="D14" s="37">
        <v>2483232.942152</v>
      </c>
      <c r="E14" s="37">
        <f t="shared" si="0"/>
        <v>1317748.942152</v>
      </c>
      <c r="F14" s="102">
        <f t="shared" si="1"/>
        <v>2.1306452445095774</v>
      </c>
    </row>
    <row r="15" spans="1:6" ht="15.75">
      <c r="A15" s="23" t="s">
        <v>366</v>
      </c>
      <c r="B15" s="24" t="s">
        <v>118</v>
      </c>
      <c r="C15" s="37"/>
      <c r="D15" s="36"/>
      <c r="E15" s="36">
        <f t="shared" si="0"/>
        <v>0</v>
      </c>
      <c r="F15" s="102"/>
    </row>
    <row r="16" spans="1:6" ht="15.75">
      <c r="A16" s="23" t="s">
        <v>367</v>
      </c>
      <c r="B16" s="24" t="s">
        <v>129</v>
      </c>
      <c r="C16" s="37"/>
      <c r="D16" s="36">
        <v>3688.605115</v>
      </c>
      <c r="E16" s="36">
        <f t="shared" si="0"/>
        <v>3688.605115</v>
      </c>
      <c r="F16" s="102"/>
    </row>
    <row r="17" spans="1:6" ht="15.75">
      <c r="A17" s="23" t="s">
        <v>381</v>
      </c>
      <c r="B17" s="24" t="s">
        <v>119</v>
      </c>
      <c r="C17" s="37"/>
      <c r="D17" s="36">
        <v>1491470.718</v>
      </c>
      <c r="E17" s="36">
        <f t="shared" si="0"/>
        <v>1491470.718</v>
      </c>
      <c r="F17" s="102"/>
    </row>
    <row r="18" spans="1:6" ht="15.75">
      <c r="A18" s="23" t="s">
        <v>150</v>
      </c>
      <c r="B18" s="24" t="s">
        <v>145</v>
      </c>
      <c r="C18" s="37"/>
      <c r="D18" s="36">
        <v>19372.441975</v>
      </c>
      <c r="E18" s="36">
        <f t="shared" si="0"/>
        <v>19372.441975</v>
      </c>
      <c r="F18" s="102"/>
    </row>
    <row r="19" spans="1:9" ht="15.75">
      <c r="A19" s="23" t="s">
        <v>309</v>
      </c>
      <c r="B19" s="24" t="s">
        <v>328</v>
      </c>
      <c r="C19" s="37"/>
      <c r="D19" s="36">
        <v>54246.742815</v>
      </c>
      <c r="E19" s="36">
        <f t="shared" si="0"/>
        <v>54246.742815</v>
      </c>
      <c r="F19" s="102"/>
      <c r="I19" s="170"/>
    </row>
    <row r="20" spans="1:9" ht="15.75">
      <c r="A20" s="23" t="s">
        <v>361</v>
      </c>
      <c r="B20" s="24" t="s">
        <v>372</v>
      </c>
      <c r="C20" s="36">
        <f>SUM(C21,C28,C31)</f>
        <v>7652022</v>
      </c>
      <c r="D20" s="36">
        <f>SUM(D21,D28,D31,D32,D33)</f>
        <v>10503034.180443002</v>
      </c>
      <c r="E20" s="36">
        <f t="shared" si="0"/>
        <v>2851012.180443002</v>
      </c>
      <c r="F20" s="99">
        <f>D20/C20</f>
        <v>1.372582852015193</v>
      </c>
      <c r="H20" s="169"/>
      <c r="I20" s="170"/>
    </row>
    <row r="21" spans="1:9" ht="15.75">
      <c r="A21" s="23" t="s">
        <v>369</v>
      </c>
      <c r="B21" s="24" t="s">
        <v>333</v>
      </c>
      <c r="C21" s="36">
        <f>SUM(C22:C27)</f>
        <v>6486538</v>
      </c>
      <c r="D21" s="36">
        <f>SUM(D22:D27)</f>
        <v>7019969.985207</v>
      </c>
      <c r="E21" s="36">
        <f t="shared" si="0"/>
        <v>533431.9852069998</v>
      </c>
      <c r="F21" s="99">
        <f aca="true" t="shared" si="2" ref="F21:F30">D21/C21</f>
        <v>1.0822367779556676</v>
      </c>
      <c r="I21" s="169"/>
    </row>
    <row r="22" spans="1:9" ht="15.75">
      <c r="A22" s="27">
        <v>1</v>
      </c>
      <c r="B22" s="28" t="s">
        <v>136</v>
      </c>
      <c r="C22" s="37">
        <v>607852</v>
      </c>
      <c r="D22" s="37">
        <v>667664.64</v>
      </c>
      <c r="E22" s="37">
        <f t="shared" si="0"/>
        <v>59812.640000000014</v>
      </c>
      <c r="F22" s="102">
        <f t="shared" si="2"/>
        <v>1.0984000052644394</v>
      </c>
      <c r="I22" s="169"/>
    </row>
    <row r="23" spans="1:9" ht="15.75">
      <c r="A23" s="27">
        <v>2</v>
      </c>
      <c r="B23" s="28" t="s">
        <v>373</v>
      </c>
      <c r="C23" s="37">
        <f>5741579-14119</f>
        <v>5727460</v>
      </c>
      <c r="D23" s="37">
        <v>6349624.117584</v>
      </c>
      <c r="E23" s="37">
        <f t="shared" si="0"/>
        <v>622164.1175840003</v>
      </c>
      <c r="F23" s="102">
        <f t="shared" si="2"/>
        <v>1.1086282780820818</v>
      </c>
      <c r="I23" s="169"/>
    </row>
    <row r="24" spans="1:6" ht="31.5">
      <c r="A24" s="27">
        <v>3</v>
      </c>
      <c r="B24" s="28" t="s">
        <v>374</v>
      </c>
      <c r="C24" s="37">
        <v>3817</v>
      </c>
      <c r="D24" s="37">
        <v>1681.227623</v>
      </c>
      <c r="E24" s="37">
        <f t="shared" si="0"/>
        <v>-2135.7723770000002</v>
      </c>
      <c r="F24" s="102">
        <f t="shared" si="2"/>
        <v>0.4404578525019649</v>
      </c>
    </row>
    <row r="25" spans="1:6" ht="15.75">
      <c r="A25" s="27">
        <v>4</v>
      </c>
      <c r="B25" s="28" t="s">
        <v>120</v>
      </c>
      <c r="C25" s="37">
        <v>1000</v>
      </c>
      <c r="D25" s="37">
        <v>1000</v>
      </c>
      <c r="E25" s="37">
        <f t="shared" si="0"/>
        <v>0</v>
      </c>
      <c r="F25" s="102">
        <f t="shared" si="2"/>
        <v>1</v>
      </c>
    </row>
    <row r="26" spans="1:6" ht="15.75">
      <c r="A26" s="27">
        <v>5</v>
      </c>
      <c r="B26" s="28" t="s">
        <v>121</v>
      </c>
      <c r="C26" s="37">
        <v>132290</v>
      </c>
      <c r="D26" s="37"/>
      <c r="E26" s="37">
        <f t="shared" si="0"/>
        <v>-132290</v>
      </c>
      <c r="F26" s="102">
        <f t="shared" si="2"/>
        <v>0</v>
      </c>
    </row>
    <row r="27" spans="1:6" ht="15.75">
      <c r="A27" s="27">
        <v>6</v>
      </c>
      <c r="B27" s="28" t="s">
        <v>375</v>
      </c>
      <c r="C27" s="37">
        <v>14119</v>
      </c>
      <c r="D27" s="37"/>
      <c r="E27" s="37">
        <f t="shared" si="0"/>
        <v>-14119</v>
      </c>
      <c r="F27" s="102">
        <f t="shared" si="2"/>
        <v>0</v>
      </c>
    </row>
    <row r="28" spans="1:6" ht="15.75">
      <c r="A28" s="23" t="s">
        <v>365</v>
      </c>
      <c r="B28" s="24" t="s">
        <v>122</v>
      </c>
      <c r="C28" s="36">
        <f>SUM(C29:C30)</f>
        <v>1165484</v>
      </c>
      <c r="D28" s="36">
        <f>SUM(D29:D30)</f>
        <v>1537469.486893</v>
      </c>
      <c r="E28" s="36">
        <f t="shared" si="0"/>
        <v>371985.4868930001</v>
      </c>
      <c r="F28" s="99">
        <f t="shared" si="2"/>
        <v>1.3191682484641574</v>
      </c>
    </row>
    <row r="29" spans="1:6" ht="15.75">
      <c r="A29" s="27">
        <v>1</v>
      </c>
      <c r="B29" s="28" t="s">
        <v>123</v>
      </c>
      <c r="C29" s="37">
        <v>544519</v>
      </c>
      <c r="D29" s="37">
        <v>544571.690136</v>
      </c>
      <c r="E29" s="37">
        <f t="shared" si="0"/>
        <v>52.69013600004837</v>
      </c>
      <c r="F29" s="102">
        <f t="shared" si="2"/>
        <v>1.0000967645499974</v>
      </c>
    </row>
    <row r="30" spans="1:6" ht="15.75">
      <c r="A30" s="27">
        <v>2</v>
      </c>
      <c r="B30" s="28" t="s">
        <v>124</v>
      </c>
      <c r="C30" s="37">
        <v>620965</v>
      </c>
      <c r="D30" s="37">
        <v>992897.796757</v>
      </c>
      <c r="E30" s="37">
        <f t="shared" si="0"/>
        <v>371932.79675700003</v>
      </c>
      <c r="F30" s="102">
        <f t="shared" si="2"/>
        <v>1.5989593564162232</v>
      </c>
    </row>
    <row r="31" spans="1:9" ht="15.75">
      <c r="A31" s="23" t="s">
        <v>366</v>
      </c>
      <c r="B31" s="24" t="s">
        <v>125</v>
      </c>
      <c r="C31" s="37"/>
      <c r="D31" s="36">
        <v>1771714.640781</v>
      </c>
      <c r="E31" s="36">
        <f t="shared" si="0"/>
        <v>1771714.640781</v>
      </c>
      <c r="F31" s="102"/>
      <c r="I31" s="170"/>
    </row>
    <row r="32" spans="1:9" ht="15.75" hidden="1">
      <c r="A32" s="23" t="s">
        <v>367</v>
      </c>
      <c r="B32" s="24" t="s">
        <v>130</v>
      </c>
      <c r="C32" s="37"/>
      <c r="D32" s="36"/>
      <c r="E32" s="36">
        <f t="shared" si="0"/>
        <v>0</v>
      </c>
      <c r="F32" s="102"/>
      <c r="I32" s="170"/>
    </row>
    <row r="33" spans="1:10" ht="15.75">
      <c r="A33" s="23" t="s">
        <v>367</v>
      </c>
      <c r="B33" s="24" t="s">
        <v>153</v>
      </c>
      <c r="C33" s="37"/>
      <c r="D33" s="36">
        <v>173880.067562</v>
      </c>
      <c r="E33" s="36">
        <f t="shared" si="0"/>
        <v>173880.067562</v>
      </c>
      <c r="F33" s="102"/>
      <c r="I33" s="170"/>
      <c r="J33" s="170">
        <v>1765989206580</v>
      </c>
    </row>
    <row r="34" spans="1:9" ht="15.75">
      <c r="A34" s="23" t="s">
        <v>368</v>
      </c>
      <c r="B34" s="24" t="s">
        <v>286</v>
      </c>
      <c r="C34" s="36">
        <f>SUM(C35:C35)</f>
        <v>127861</v>
      </c>
      <c r="D34" s="36">
        <f>SUM(D35:D35)</f>
        <v>140869.769259</v>
      </c>
      <c r="E34" s="36">
        <f>SUM(E35:E35)</f>
        <v>13008.769258999993</v>
      </c>
      <c r="F34" s="99">
        <f>SUM(F35:F35)</f>
        <v>1.101741494740382</v>
      </c>
      <c r="I34" s="170"/>
    </row>
    <row r="35" spans="1:9" s="85" customFormat="1" ht="15.75">
      <c r="A35" s="27"/>
      <c r="B35" s="28" t="s">
        <v>327</v>
      </c>
      <c r="C35" s="37">
        <v>127861</v>
      </c>
      <c r="D35" s="37">
        <v>140869.769259</v>
      </c>
      <c r="E35" s="37">
        <f>D35-C35</f>
        <v>13008.769258999993</v>
      </c>
      <c r="F35" s="102">
        <f>D35/C35</f>
        <v>1.101741494740382</v>
      </c>
      <c r="I35" s="171"/>
    </row>
    <row r="36" spans="1:6" ht="15.75">
      <c r="A36" s="23" t="s">
        <v>371</v>
      </c>
      <c r="B36" s="24" t="s">
        <v>334</v>
      </c>
      <c r="C36" s="36">
        <f>SUM(C37:C38)</f>
        <v>149251</v>
      </c>
      <c r="D36" s="36">
        <f>SUM(D37:D39)</f>
        <v>201050.499</v>
      </c>
      <c r="E36" s="36">
        <f t="shared" si="0"/>
        <v>51799.49900000001</v>
      </c>
      <c r="F36" s="102">
        <f aca="true" t="shared" si="3" ref="F36:F43">D36/C36</f>
        <v>1.3470629945528003</v>
      </c>
    </row>
    <row r="37" spans="1:6" s="95" customFormat="1" ht="15.75">
      <c r="A37" s="23" t="s">
        <v>369</v>
      </c>
      <c r="B37" s="24" t="s">
        <v>378</v>
      </c>
      <c r="C37" s="36">
        <v>20390</v>
      </c>
      <c r="D37" s="36">
        <v>7380.73</v>
      </c>
      <c r="E37" s="36">
        <f t="shared" si="0"/>
        <v>-13009.27</v>
      </c>
      <c r="F37" s="102">
        <f t="shared" si="3"/>
        <v>0.3619779303580186</v>
      </c>
    </row>
    <row r="38" spans="1:6" s="95" customFormat="1" ht="15.75">
      <c r="A38" s="23" t="s">
        <v>365</v>
      </c>
      <c r="B38" s="24" t="s">
        <v>16</v>
      </c>
      <c r="C38" s="36">
        <v>128861</v>
      </c>
      <c r="D38" s="36">
        <f>140869.769</f>
        <v>140869.769</v>
      </c>
      <c r="E38" s="36">
        <f t="shared" si="0"/>
        <v>12008.769</v>
      </c>
      <c r="F38" s="102">
        <f t="shared" si="3"/>
        <v>1.0931916483652928</v>
      </c>
    </row>
    <row r="39" spans="1:6" s="95" customFormat="1" ht="15.75">
      <c r="A39" s="23" t="s">
        <v>366</v>
      </c>
      <c r="B39" s="24" t="s">
        <v>17</v>
      </c>
      <c r="C39" s="36"/>
      <c r="D39" s="36">
        <v>52800</v>
      </c>
      <c r="E39" s="36">
        <f t="shared" si="0"/>
        <v>52800</v>
      </c>
      <c r="F39" s="102"/>
    </row>
    <row r="40" spans="1:6" ht="15.75">
      <c r="A40" s="23" t="s">
        <v>376</v>
      </c>
      <c r="B40" s="24" t="s">
        <v>137</v>
      </c>
      <c r="C40" s="36">
        <f>SUM(C41:C42)</f>
        <v>20390</v>
      </c>
      <c r="D40" s="36">
        <f>SUM(D41:D42)</f>
        <v>7380.730945</v>
      </c>
      <c r="E40" s="37">
        <f t="shared" si="0"/>
        <v>-13009.269055</v>
      </c>
      <c r="F40" s="102">
        <f t="shared" si="3"/>
        <v>0.3619779767042668</v>
      </c>
    </row>
    <row r="41" spans="1:6" ht="15.75">
      <c r="A41" s="23" t="s">
        <v>369</v>
      </c>
      <c r="B41" s="24" t="s">
        <v>379</v>
      </c>
      <c r="C41" s="36"/>
      <c r="D41" s="36"/>
      <c r="E41" s="36">
        <f t="shared" si="0"/>
        <v>0</v>
      </c>
      <c r="F41" s="102"/>
    </row>
    <row r="42" spans="1:6" ht="15.75">
      <c r="A42" s="23" t="s">
        <v>365</v>
      </c>
      <c r="B42" s="24" t="s">
        <v>380</v>
      </c>
      <c r="C42" s="36">
        <v>20390</v>
      </c>
      <c r="D42" s="173">
        <v>7380.730945</v>
      </c>
      <c r="E42" s="36">
        <f t="shared" si="0"/>
        <v>-13009.269055</v>
      </c>
      <c r="F42" s="102">
        <f t="shared" si="3"/>
        <v>0.3619779767042668</v>
      </c>
    </row>
    <row r="43" spans="1:6" ht="31.5">
      <c r="A43" s="35" t="s">
        <v>377</v>
      </c>
      <c r="B43" s="172" t="s">
        <v>335</v>
      </c>
      <c r="C43" s="83">
        <v>367159</v>
      </c>
      <c r="D43" s="83">
        <v>327932</v>
      </c>
      <c r="E43" s="83">
        <f t="shared" si="0"/>
        <v>-39227</v>
      </c>
      <c r="F43" s="102">
        <f t="shared" si="3"/>
        <v>0.8931607287306045</v>
      </c>
    </row>
    <row r="44" spans="1:6" ht="60" customHeight="1">
      <c r="A44" s="361"/>
      <c r="B44" s="361"/>
      <c r="C44" s="361"/>
      <c r="D44" s="361"/>
      <c r="E44" s="361"/>
      <c r="F44" s="361"/>
    </row>
  </sheetData>
  <sheetProtection/>
  <mergeCells count="8">
    <mergeCell ref="A2:F2"/>
    <mergeCell ref="A3:F3"/>
    <mergeCell ref="A44:F44"/>
    <mergeCell ref="A5:A6"/>
    <mergeCell ref="B5:B6"/>
    <mergeCell ref="C5:C6"/>
    <mergeCell ref="D5:D6"/>
    <mergeCell ref="E5:F5"/>
  </mergeCells>
  <printOptions horizontalCentered="1"/>
  <pageMargins left="0" right="0" top="0.5" bottom="0" header="0.3" footer="0.3"/>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tabColor indexed="14"/>
  </sheetPr>
  <dimension ref="A1:J72"/>
  <sheetViews>
    <sheetView zoomScalePageLayoutView="0" workbookViewId="0" topLeftCell="A1">
      <selection activeCell="E11" sqref="E11"/>
    </sheetView>
  </sheetViews>
  <sheetFormatPr defaultColWidth="10.421875" defaultRowHeight="15"/>
  <cols>
    <col min="1" max="1" width="4.7109375" style="85" customWidth="1"/>
    <col min="2" max="2" width="52.421875" style="85" customWidth="1"/>
    <col min="3" max="4" width="12.421875" style="86" customWidth="1"/>
    <col min="5" max="5" width="15.421875" style="86" customWidth="1"/>
    <col min="6" max="6" width="16.7109375" style="86" customWidth="1"/>
    <col min="7" max="8" width="12.421875" style="86" customWidth="1"/>
    <col min="9" max="16384" width="10.421875" style="85" customWidth="1"/>
  </cols>
  <sheetData>
    <row r="1" spans="7:8" ht="15.75">
      <c r="G1" s="87"/>
      <c r="H1" s="88" t="s">
        <v>311</v>
      </c>
    </row>
    <row r="2" spans="1:8" ht="33.75" customHeight="1">
      <c r="A2" s="362" t="s">
        <v>479</v>
      </c>
      <c r="B2" s="362"/>
      <c r="C2" s="362"/>
      <c r="D2" s="362"/>
      <c r="E2" s="362"/>
      <c r="F2" s="362"/>
      <c r="G2" s="362"/>
      <c r="H2" s="362"/>
    </row>
    <row r="3" spans="1:8" ht="23.25" customHeight="1">
      <c r="A3" s="351" t="str">
        <f>'Biểu 01'!A4:F4</f>
        <v>(Kèm theo Nghị quyết  số 111/NQ-HĐND ngày  10 tháng  7  năm 2019 của Hội đồng nhân dân tỉnh Điện Biên)</v>
      </c>
      <c r="B3" s="351"/>
      <c r="C3" s="351"/>
      <c r="D3" s="351"/>
      <c r="E3" s="351"/>
      <c r="F3" s="351"/>
      <c r="G3" s="351"/>
      <c r="H3" s="351"/>
    </row>
    <row r="4" spans="6:8" ht="15" customHeight="1">
      <c r="F4" s="363" t="s">
        <v>363</v>
      </c>
      <c r="G4" s="363"/>
      <c r="H4" s="363"/>
    </row>
    <row r="5" spans="1:8" s="89" customFormat="1" ht="15.75">
      <c r="A5" s="359" t="s">
        <v>358</v>
      </c>
      <c r="B5" s="359" t="s">
        <v>359</v>
      </c>
      <c r="C5" s="359" t="s">
        <v>307</v>
      </c>
      <c r="D5" s="359"/>
      <c r="E5" s="359" t="s">
        <v>331</v>
      </c>
      <c r="F5" s="359"/>
      <c r="G5" s="359" t="s">
        <v>138</v>
      </c>
      <c r="H5" s="359"/>
    </row>
    <row r="6" spans="1:8" s="89" customFormat="1" ht="31.5">
      <c r="A6" s="359"/>
      <c r="B6" s="359"/>
      <c r="C6" s="22" t="s">
        <v>18</v>
      </c>
      <c r="D6" s="22" t="s">
        <v>19</v>
      </c>
      <c r="E6" s="22" t="s">
        <v>18</v>
      </c>
      <c r="F6" s="22" t="s">
        <v>19</v>
      </c>
      <c r="G6" s="22" t="s">
        <v>18</v>
      </c>
      <c r="H6" s="22" t="s">
        <v>19</v>
      </c>
    </row>
    <row r="7" spans="1:8" s="89" customFormat="1" ht="22.5" customHeight="1">
      <c r="A7" s="22" t="s">
        <v>360</v>
      </c>
      <c r="B7" s="22" t="s">
        <v>361</v>
      </c>
      <c r="C7" s="22">
        <v>1</v>
      </c>
      <c r="D7" s="22">
        <v>2</v>
      </c>
      <c r="E7" s="22">
        <v>3</v>
      </c>
      <c r="F7" s="22">
        <v>4</v>
      </c>
      <c r="G7" s="22" t="s">
        <v>20</v>
      </c>
      <c r="H7" s="22" t="s">
        <v>21</v>
      </c>
    </row>
    <row r="8" spans="1:10" s="95" customFormat="1" ht="22.5" customHeight="1">
      <c r="A8" s="90"/>
      <c r="B8" s="91" t="s">
        <v>420</v>
      </c>
      <c r="C8" s="92">
        <f>SUM(C9,C63,C64,C65,C66)</f>
        <v>1052500</v>
      </c>
      <c r="D8" s="92">
        <f>SUM(D9,D63,D64,D65,D66)</f>
        <v>947500</v>
      </c>
      <c r="E8" s="93">
        <f>SUM(E9,E63,E64,E65,E66)</f>
        <v>2792588.374183</v>
      </c>
      <c r="F8" s="93">
        <f>SUM(F9,F63,F64,F65,F66)</f>
        <v>2551944.581055</v>
      </c>
      <c r="G8" s="94">
        <f>E8/C8</f>
        <v>2.65329061680095</v>
      </c>
      <c r="H8" s="94">
        <f>F8/D8</f>
        <v>2.6933452042796833</v>
      </c>
      <c r="J8" s="96"/>
    </row>
    <row r="9" spans="1:8" s="95" customFormat="1" ht="22.5" customHeight="1">
      <c r="A9" s="25" t="s">
        <v>360</v>
      </c>
      <c r="B9" s="97" t="s">
        <v>22</v>
      </c>
      <c r="C9" s="98">
        <f>SUM(C10,C53,C54,C61,C62)</f>
        <v>1052500</v>
      </c>
      <c r="D9" s="98">
        <f>SUM(D10,D53,D54,D61,D62)</f>
        <v>947500</v>
      </c>
      <c r="E9" s="36">
        <f>SUM(E10,E53,E54,E61,E62)</f>
        <v>1123548.98285</v>
      </c>
      <c r="F9" s="36">
        <f>SUM(F10,F53,F54,F61,F62)</f>
        <v>1002538.5144689998</v>
      </c>
      <c r="G9" s="99">
        <f aca="true" t="shared" si="0" ref="G9:H59">E9/C9</f>
        <v>1.0675049718289786</v>
      </c>
      <c r="H9" s="99">
        <f t="shared" si="0"/>
        <v>1.0580881419197887</v>
      </c>
    </row>
    <row r="10" spans="1:10" s="95" customFormat="1" ht="22.5" customHeight="1">
      <c r="A10" s="25" t="s">
        <v>369</v>
      </c>
      <c r="B10" s="97" t="s">
        <v>364</v>
      </c>
      <c r="C10" s="98">
        <f>SUM(C11,C18,C20,C27:C28,C31:C32,C37:C42,C47:C50,C51:C52)</f>
        <v>1037000</v>
      </c>
      <c r="D10" s="98">
        <f>SUM(D11,D18,D20,D27:D28,D31:D32,D37:D42,D47:D50,D51:D52)</f>
        <v>947500</v>
      </c>
      <c r="E10" s="36">
        <f>SUM(E11,E18,E20,E27:E28,E31:E32,E37:E42,E47:E50,E51:E52)</f>
        <v>1073935.922335</v>
      </c>
      <c r="F10" s="36">
        <f>SUM(F11,F18,F20,F27:F28,F31:F32,F37:F42,F47:F50,F51:F52)</f>
        <v>968995.7547319998</v>
      </c>
      <c r="G10" s="99">
        <f t="shared" si="0"/>
        <v>1.035618054324976</v>
      </c>
      <c r="H10" s="99">
        <f t="shared" si="0"/>
        <v>1.0226868123820578</v>
      </c>
      <c r="I10" s="96"/>
      <c r="J10" s="96"/>
    </row>
    <row r="11" spans="1:8" ht="22.5" customHeight="1">
      <c r="A11" s="100">
        <v>1</v>
      </c>
      <c r="B11" s="100" t="s">
        <v>38</v>
      </c>
      <c r="C11" s="101">
        <f>SUM(C12:C17)</f>
        <v>243000</v>
      </c>
      <c r="D11" s="101">
        <f>SUM(D12:D17)</f>
        <v>243000</v>
      </c>
      <c r="E11" s="37">
        <f>SUM(E12:E17)</f>
        <v>247944.90302299996</v>
      </c>
      <c r="F11" s="37">
        <f>SUM(F12:F17)</f>
        <v>247911.53836199996</v>
      </c>
      <c r="G11" s="102">
        <f t="shared" si="0"/>
        <v>1.0203493951563785</v>
      </c>
      <c r="H11" s="102">
        <f t="shared" si="0"/>
        <v>1.020212092024691</v>
      </c>
    </row>
    <row r="12" spans="1:8" ht="22.5" customHeight="1">
      <c r="A12" s="100"/>
      <c r="B12" s="100" t="str">
        <f>'[1]B61'!B13</f>
        <v>- Thuế giá trị gia tăng</v>
      </c>
      <c r="C12" s="101">
        <f>'[1]B61'!C13</f>
        <v>92370</v>
      </c>
      <c r="D12" s="101">
        <f>C12</f>
        <v>92370</v>
      </c>
      <c r="E12" s="37">
        <f>'[1]B61'!E13</f>
        <v>60625.4431</v>
      </c>
      <c r="F12" s="37">
        <f>'[1]50'!E12</f>
        <v>60625.4431</v>
      </c>
      <c r="G12" s="102">
        <f t="shared" si="0"/>
        <v>0.6563326090722096</v>
      </c>
      <c r="H12" s="102">
        <f t="shared" si="0"/>
        <v>0.6563326090722096</v>
      </c>
    </row>
    <row r="13" spans="1:8" ht="22.5" customHeight="1">
      <c r="A13" s="100"/>
      <c r="B13" s="100" t="str">
        <f>'[1]B61'!B15</f>
        <v>- Thuế thu nhập doanh nghiệp</v>
      </c>
      <c r="C13" s="101">
        <f>'[1]B61'!C15</f>
        <v>6100</v>
      </c>
      <c r="D13" s="101">
        <f>C13</f>
        <v>6100</v>
      </c>
      <c r="E13" s="37">
        <f>'[1]B61'!E15</f>
        <v>8700.814715999999</v>
      </c>
      <c r="F13" s="37">
        <f>'[1]50'!E13</f>
        <v>8700.814715999999</v>
      </c>
      <c r="G13" s="102">
        <f t="shared" si="0"/>
        <v>1.4263630681967212</v>
      </c>
      <c r="H13" s="102">
        <f t="shared" si="0"/>
        <v>1.4263630681967212</v>
      </c>
    </row>
    <row r="14" spans="1:8" ht="22.5" customHeight="1">
      <c r="A14" s="100"/>
      <c r="B14" s="100" t="str">
        <f>'[1]B61'!B16</f>
        <v>- Thuế tiêu thụ đặc biệt</v>
      </c>
      <c r="C14" s="101">
        <f>'[1]B61'!C16</f>
        <v>30</v>
      </c>
      <c r="D14" s="101">
        <f>C14</f>
        <v>30</v>
      </c>
      <c r="E14" s="37">
        <f>'[1]B61'!E16</f>
        <v>0</v>
      </c>
      <c r="F14" s="37">
        <f>'[1]50'!E14</f>
        <v>0</v>
      </c>
      <c r="G14" s="102">
        <f t="shared" si="0"/>
        <v>0</v>
      </c>
      <c r="H14" s="102">
        <f t="shared" si="0"/>
        <v>0</v>
      </c>
    </row>
    <row r="15" spans="1:8" ht="22.5" customHeight="1">
      <c r="A15" s="100"/>
      <c r="B15" s="100" t="str">
        <f>'[1]B61'!B18</f>
        <v>- Thuế tài nguyên</v>
      </c>
      <c r="C15" s="101">
        <f>'[1]B61'!C18</f>
        <v>144500</v>
      </c>
      <c r="D15" s="101">
        <f>C15</f>
        <v>144500</v>
      </c>
      <c r="E15" s="37">
        <f>'[1]B61'!E18</f>
        <v>178517.16439199998</v>
      </c>
      <c r="F15" s="37">
        <f>'[1]50'!E15</f>
        <v>178517.16439199998</v>
      </c>
      <c r="G15" s="102">
        <f t="shared" si="0"/>
        <v>1.235412902366782</v>
      </c>
      <c r="H15" s="102">
        <f t="shared" si="0"/>
        <v>1.235412902366782</v>
      </c>
    </row>
    <row r="16" spans="1:8" ht="22.5" customHeight="1">
      <c r="A16" s="100"/>
      <c r="B16" s="100" t="str">
        <f>'[1]B61'!B20</f>
        <v> - Thuế môn bài</v>
      </c>
      <c r="C16" s="101"/>
      <c r="D16" s="101"/>
      <c r="E16" s="37">
        <f>'[1]B61'!E20</f>
        <v>1.5</v>
      </c>
      <c r="F16" s="37">
        <f>'[1]50'!E16</f>
        <v>1.5</v>
      </c>
      <c r="G16" s="102"/>
      <c r="H16" s="102"/>
    </row>
    <row r="17" spans="1:8" ht="22.5" customHeight="1">
      <c r="A17" s="100"/>
      <c r="B17" s="100" t="str">
        <f>'[1]B61'!B21</f>
        <v> - Thu hồi vốn và thu khác</v>
      </c>
      <c r="C17" s="101"/>
      <c r="D17" s="101"/>
      <c r="E17" s="37">
        <f>'[1]B61'!E21</f>
        <v>99.98081499999999</v>
      </c>
      <c r="F17" s="37">
        <f>'[1]B61'!E21-'[1]B61'!F21</f>
        <v>66.616154</v>
      </c>
      <c r="G17" s="102"/>
      <c r="H17" s="102"/>
    </row>
    <row r="18" spans="1:8" ht="31.5">
      <c r="A18" s="100">
        <v>2</v>
      </c>
      <c r="B18" s="100" t="s">
        <v>23</v>
      </c>
      <c r="C18" s="101">
        <f>SUM(C19)</f>
        <v>100</v>
      </c>
      <c r="D18" s="101">
        <f>SUM(D19)</f>
        <v>100</v>
      </c>
      <c r="E18" s="37">
        <f>SUM(E19)</f>
        <v>159.508224</v>
      </c>
      <c r="F18" s="37">
        <f>SUM(F19)</f>
        <v>159.508224</v>
      </c>
      <c r="G18" s="102">
        <f t="shared" si="0"/>
        <v>1.5950822400000002</v>
      </c>
      <c r="H18" s="102">
        <f t="shared" si="0"/>
        <v>1.5950822400000002</v>
      </c>
    </row>
    <row r="19" spans="1:8" ht="22.5" customHeight="1">
      <c r="A19" s="100"/>
      <c r="B19" s="100" t="str">
        <f>'[1]B61'!B30</f>
        <v>- Thuế giá trị gia tăng</v>
      </c>
      <c r="C19" s="101">
        <f>'[1]B61'!C30</f>
        <v>100</v>
      </c>
      <c r="D19" s="101">
        <f>C19</f>
        <v>100</v>
      </c>
      <c r="E19" s="37">
        <f>'[1]B61'!E30</f>
        <v>159.508224</v>
      </c>
      <c r="F19" s="37">
        <f>E19</f>
        <v>159.508224</v>
      </c>
      <c r="G19" s="102">
        <f t="shared" si="0"/>
        <v>1.5950822400000002</v>
      </c>
      <c r="H19" s="102">
        <f t="shared" si="0"/>
        <v>1.5950822400000002</v>
      </c>
    </row>
    <row r="20" spans="1:8" ht="22.5" customHeight="1">
      <c r="A20" s="100">
        <v>3</v>
      </c>
      <c r="B20" s="100" t="s">
        <v>24</v>
      </c>
      <c r="C20" s="101">
        <f>SUM(C21:C26)</f>
        <v>389100</v>
      </c>
      <c r="D20" s="101">
        <f>SUM(D21:D26)</f>
        <v>389100</v>
      </c>
      <c r="E20" s="37">
        <f>SUM(E21:E26)</f>
        <v>336854.47526499996</v>
      </c>
      <c r="F20" s="37">
        <f>SUM(F21:F26)</f>
        <v>336658.843139</v>
      </c>
      <c r="G20" s="102">
        <f t="shared" si="0"/>
        <v>0.8657272558853764</v>
      </c>
      <c r="H20" s="102">
        <f t="shared" si="0"/>
        <v>0.8652244747854022</v>
      </c>
    </row>
    <row r="21" spans="1:8" ht="22.5" customHeight="1">
      <c r="A21" s="100"/>
      <c r="B21" s="100" t="str">
        <f>'[1]B61'!B42</f>
        <v>- Thuế giá trị gia tăng</v>
      </c>
      <c r="C21" s="101">
        <f>'[1]B61'!C42</f>
        <v>348480</v>
      </c>
      <c r="D21" s="101">
        <f aca="true" t="shared" si="1" ref="D21:D27">C21</f>
        <v>348480</v>
      </c>
      <c r="E21" s="37">
        <f>'[1]B61'!E42</f>
        <v>265287.247423</v>
      </c>
      <c r="F21" s="37">
        <f>E21</f>
        <v>265287.247423</v>
      </c>
      <c r="G21" s="102">
        <f t="shared" si="0"/>
        <v>0.7612696494002525</v>
      </c>
      <c r="H21" s="102">
        <f t="shared" si="0"/>
        <v>0.7612696494002525</v>
      </c>
    </row>
    <row r="22" spans="1:8" ht="22.5" customHeight="1">
      <c r="A22" s="100"/>
      <c r="B22" s="100" t="str">
        <f>'[1]B61'!B43</f>
        <v>- Thuế thu nhập doanh nghiệp</v>
      </c>
      <c r="C22" s="101">
        <f>'[1]B61'!C43</f>
        <v>11100</v>
      </c>
      <c r="D22" s="101">
        <f t="shared" si="1"/>
        <v>11100</v>
      </c>
      <c r="E22" s="37">
        <f>'[1]B61'!E43</f>
        <v>21690.325709999997</v>
      </c>
      <c r="F22" s="37">
        <f>E22</f>
        <v>21690.325709999997</v>
      </c>
      <c r="G22" s="102">
        <f t="shared" si="0"/>
        <v>1.954083397297297</v>
      </c>
      <c r="H22" s="102">
        <f t="shared" si="0"/>
        <v>1.954083397297297</v>
      </c>
    </row>
    <row r="23" spans="1:8" ht="22.5" customHeight="1">
      <c r="A23" s="100"/>
      <c r="B23" s="100" t="str">
        <f>'[1]B61'!B44</f>
        <v>- Thuế tiêu thụ đặc biệt</v>
      </c>
      <c r="C23" s="101">
        <f>'[1]B61'!C44</f>
        <v>220</v>
      </c>
      <c r="D23" s="101">
        <f t="shared" si="1"/>
        <v>220</v>
      </c>
      <c r="E23" s="37">
        <f>'[1]B61'!E44</f>
        <v>237.833767</v>
      </c>
      <c r="F23" s="37">
        <f>E23</f>
        <v>237.833767</v>
      </c>
      <c r="G23" s="102">
        <f t="shared" si="0"/>
        <v>1.0810625772727271</v>
      </c>
      <c r="H23" s="102">
        <f t="shared" si="0"/>
        <v>1.0810625772727271</v>
      </c>
    </row>
    <row r="24" spans="1:8" ht="22.5" customHeight="1">
      <c r="A24" s="100"/>
      <c r="B24" s="100" t="str">
        <f>'[1]B61'!B46</f>
        <v>- Thuế tài nguyên</v>
      </c>
      <c r="C24" s="101">
        <f>'[1]B61'!C46</f>
        <v>29300</v>
      </c>
      <c r="D24" s="101">
        <f t="shared" si="1"/>
        <v>29300</v>
      </c>
      <c r="E24" s="37">
        <f>'[1]B61'!E46</f>
        <v>47163.438202</v>
      </c>
      <c r="F24" s="37">
        <f>E24</f>
        <v>47163.438202</v>
      </c>
      <c r="G24" s="102">
        <f t="shared" si="0"/>
        <v>1.609673658771331</v>
      </c>
      <c r="H24" s="102">
        <f t="shared" si="0"/>
        <v>1.609673658771331</v>
      </c>
    </row>
    <row r="25" spans="1:8" ht="22.5" customHeight="1">
      <c r="A25" s="100"/>
      <c r="B25" s="100" t="str">
        <f>'[1]B61'!B47</f>
        <v> - Thuế môn bài</v>
      </c>
      <c r="C25" s="101"/>
      <c r="D25" s="101"/>
      <c r="E25" s="37">
        <f>'[1]B61'!E47</f>
        <v>94.3</v>
      </c>
      <c r="F25" s="37">
        <f>E25</f>
        <v>94.3</v>
      </c>
      <c r="G25" s="102"/>
      <c r="H25" s="102"/>
    </row>
    <row r="26" spans="1:8" ht="22.5" customHeight="1">
      <c r="A26" s="100"/>
      <c r="B26" s="100" t="str">
        <f>'[1]B61'!B48</f>
        <v> - Các khoản thu khác ngoài quốc doanh</v>
      </c>
      <c r="C26" s="101"/>
      <c r="D26" s="101"/>
      <c r="E26" s="37">
        <f>'[1]B61'!E48</f>
        <v>2381.330163</v>
      </c>
      <c r="F26" s="37">
        <f>'[1]B61'!E48-'[1]B61'!F48</f>
        <v>2185.698037</v>
      </c>
      <c r="G26" s="102"/>
      <c r="H26" s="102"/>
    </row>
    <row r="27" spans="1:8" ht="22.5" customHeight="1">
      <c r="A27" s="26">
        <v>4</v>
      </c>
      <c r="B27" s="100" t="s">
        <v>127</v>
      </c>
      <c r="C27" s="101">
        <f>'[1]B61'!C53</f>
        <v>43000</v>
      </c>
      <c r="D27" s="101">
        <f t="shared" si="1"/>
        <v>43000</v>
      </c>
      <c r="E27" s="37">
        <f>'[1]B61'!E53</f>
        <v>37369.413817</v>
      </c>
      <c r="F27" s="37">
        <f>'[1]B61'!E53-'[1]B61'!F53</f>
        <v>37363.092138</v>
      </c>
      <c r="G27" s="102">
        <f t="shared" si="0"/>
        <v>0.8690561352790698</v>
      </c>
      <c r="H27" s="102">
        <f t="shared" si="0"/>
        <v>0.8689091194883721</v>
      </c>
    </row>
    <row r="28" spans="1:8" ht="22.5" customHeight="1">
      <c r="A28" s="26">
        <v>5</v>
      </c>
      <c r="B28" s="100" t="s">
        <v>128</v>
      </c>
      <c r="C28" s="101">
        <f>'[1]B61'!C54</f>
        <v>129000</v>
      </c>
      <c r="D28" s="101">
        <f>D29</f>
        <v>48000</v>
      </c>
      <c r="E28" s="37">
        <f>'[1]B61'!E54</f>
        <v>133364.70802999998</v>
      </c>
      <c r="F28" s="37">
        <f>SUM(F29:F30)</f>
        <v>49697.439592</v>
      </c>
      <c r="G28" s="102">
        <f t="shared" si="0"/>
        <v>1.0338349459689922</v>
      </c>
      <c r="H28" s="102">
        <f t="shared" si="0"/>
        <v>1.0353633248333334</v>
      </c>
    </row>
    <row r="29" spans="1:8" ht="31.5">
      <c r="A29" s="26"/>
      <c r="B29" s="103" t="s">
        <v>421</v>
      </c>
      <c r="C29" s="101">
        <f>'[1]B61'!C56</f>
        <v>48000</v>
      </c>
      <c r="D29" s="101">
        <f>C29</f>
        <v>48000</v>
      </c>
      <c r="E29" s="37">
        <f>'[1]B61'!E56</f>
        <v>49697.439592</v>
      </c>
      <c r="F29" s="37">
        <f>E29</f>
        <v>49697.439592</v>
      </c>
      <c r="G29" s="102">
        <f t="shared" si="0"/>
        <v>1.0353633248333334</v>
      </c>
      <c r="H29" s="102">
        <f t="shared" si="0"/>
        <v>1.0353633248333334</v>
      </c>
    </row>
    <row r="30" spans="1:8" ht="22.5" customHeight="1">
      <c r="A30" s="26"/>
      <c r="B30" s="103" t="s">
        <v>422</v>
      </c>
      <c r="C30" s="101">
        <f>'[1]B61'!C55</f>
        <v>81000</v>
      </c>
      <c r="D30" s="101"/>
      <c r="E30" s="37">
        <f>'[1]B61'!E55</f>
        <v>83667.268438</v>
      </c>
      <c r="F30" s="37"/>
      <c r="G30" s="102">
        <f t="shared" si="0"/>
        <v>1.0329292399753087</v>
      </c>
      <c r="H30" s="102"/>
    </row>
    <row r="31" spans="1:8" ht="22.5" customHeight="1">
      <c r="A31" s="26">
        <v>6</v>
      </c>
      <c r="B31" s="100" t="s">
        <v>152</v>
      </c>
      <c r="C31" s="101">
        <f>'[1]B61'!C50</f>
        <v>80000</v>
      </c>
      <c r="D31" s="101">
        <f>C31</f>
        <v>80000</v>
      </c>
      <c r="E31" s="37">
        <f>'[1]B61'!E50</f>
        <v>54590.204152</v>
      </c>
      <c r="F31" s="37">
        <f>E31</f>
        <v>54590.204152</v>
      </c>
      <c r="G31" s="102">
        <f t="shared" si="0"/>
        <v>0.6823775518999999</v>
      </c>
      <c r="H31" s="102">
        <f t="shared" si="0"/>
        <v>0.6823775518999999</v>
      </c>
    </row>
    <row r="32" spans="1:8" ht="22.5" customHeight="1">
      <c r="A32" s="26">
        <v>7</v>
      </c>
      <c r="B32" s="100" t="s">
        <v>25</v>
      </c>
      <c r="C32" s="101">
        <f>'[1]B61'!C57</f>
        <v>25000</v>
      </c>
      <c r="D32" s="101">
        <f>C34</f>
        <v>25000</v>
      </c>
      <c r="E32" s="37">
        <f>'[1]B61'!E57</f>
        <v>33885.305347</v>
      </c>
      <c r="F32" s="37">
        <f>SUM(F34:F36)</f>
        <v>28227.700689</v>
      </c>
      <c r="G32" s="102">
        <f t="shared" si="0"/>
        <v>1.35541221388</v>
      </c>
      <c r="H32" s="102">
        <f t="shared" si="0"/>
        <v>1.12910802756</v>
      </c>
    </row>
    <row r="33" spans="1:8" ht="22.5" customHeight="1">
      <c r="A33" s="26"/>
      <c r="B33" s="103" t="s">
        <v>66</v>
      </c>
      <c r="C33" s="101"/>
      <c r="D33" s="101"/>
      <c r="E33" s="37">
        <f>'[1]B61'!F57</f>
        <v>5657.604658</v>
      </c>
      <c r="F33" s="37"/>
      <c r="G33" s="102"/>
      <c r="H33" s="102"/>
    </row>
    <row r="34" spans="1:8" ht="22.5" customHeight="1">
      <c r="A34" s="26"/>
      <c r="B34" s="103" t="s">
        <v>67</v>
      </c>
      <c r="C34" s="365">
        <f>'[1]B61'!C59</f>
        <v>25000</v>
      </c>
      <c r="D34" s="101"/>
      <c r="E34" s="37">
        <f>'[1]B61'!G57</f>
        <v>6944.81184</v>
      </c>
      <c r="F34" s="37">
        <f>E34</f>
        <v>6944.81184</v>
      </c>
      <c r="G34" s="102">
        <f t="shared" si="0"/>
        <v>0.27779247360000003</v>
      </c>
      <c r="H34" s="102"/>
    </row>
    <row r="35" spans="1:8" ht="22.5" customHeight="1">
      <c r="A35" s="26"/>
      <c r="B35" s="103" t="s">
        <v>68</v>
      </c>
      <c r="C35" s="365"/>
      <c r="D35" s="101"/>
      <c r="E35" s="37">
        <f>'[1]B61'!H57</f>
        <v>14893.268509</v>
      </c>
      <c r="F35" s="37">
        <f>E35</f>
        <v>14893.268509</v>
      </c>
      <c r="G35" s="102"/>
      <c r="H35" s="102"/>
    </row>
    <row r="36" spans="1:8" ht="22.5" customHeight="1">
      <c r="A36" s="26"/>
      <c r="B36" s="103" t="s">
        <v>69</v>
      </c>
      <c r="C36" s="365"/>
      <c r="D36" s="101"/>
      <c r="E36" s="37">
        <f>'[1]B61'!I57</f>
        <v>6389.62034</v>
      </c>
      <c r="F36" s="37">
        <f>E36</f>
        <v>6389.62034</v>
      </c>
      <c r="G36" s="102"/>
      <c r="H36" s="102"/>
    </row>
    <row r="37" spans="1:8" ht="22.5" customHeight="1">
      <c r="A37" s="26">
        <v>8</v>
      </c>
      <c r="B37" s="100" t="s">
        <v>139</v>
      </c>
      <c r="C37" s="101"/>
      <c r="D37" s="101"/>
      <c r="E37" s="37"/>
      <c r="F37" s="37"/>
      <c r="G37" s="102"/>
      <c r="H37" s="102"/>
    </row>
    <row r="38" spans="1:8" ht="22.5" customHeight="1">
      <c r="A38" s="26">
        <v>9</v>
      </c>
      <c r="B38" s="100" t="s">
        <v>140</v>
      </c>
      <c r="C38" s="101">
        <f>'[1]B61'!C52</f>
        <v>1000</v>
      </c>
      <c r="D38" s="101">
        <f aca="true" t="shared" si="2" ref="D38:D47">C38</f>
        <v>1000</v>
      </c>
      <c r="E38" s="37">
        <f>'[1]B61'!E52</f>
        <v>2371.507433</v>
      </c>
      <c r="F38" s="37">
        <f>E38</f>
        <v>2371.507433</v>
      </c>
      <c r="G38" s="102">
        <f t="shared" si="0"/>
        <v>2.371507433</v>
      </c>
      <c r="H38" s="102">
        <f t="shared" si="0"/>
        <v>2.371507433</v>
      </c>
    </row>
    <row r="39" spans="1:8" ht="22.5" customHeight="1">
      <c r="A39" s="26">
        <v>10</v>
      </c>
      <c r="B39" s="100" t="s">
        <v>26</v>
      </c>
      <c r="C39" s="101">
        <f>'[1]B61'!C64</f>
        <v>22000</v>
      </c>
      <c r="D39" s="101">
        <f t="shared" si="2"/>
        <v>22000</v>
      </c>
      <c r="E39" s="37">
        <f>'[1]B61'!E64</f>
        <v>27229.219323999998</v>
      </c>
      <c r="F39" s="37">
        <f>E39</f>
        <v>27229.219323999998</v>
      </c>
      <c r="G39" s="102">
        <f t="shared" si="0"/>
        <v>1.2376917874545454</v>
      </c>
      <c r="H39" s="102">
        <f t="shared" si="0"/>
        <v>1.2376917874545454</v>
      </c>
    </row>
    <row r="40" spans="1:8" ht="22.5" customHeight="1">
      <c r="A40" s="26">
        <v>11</v>
      </c>
      <c r="B40" s="100" t="s">
        <v>27</v>
      </c>
      <c r="C40" s="101">
        <f>'[1]B61'!C61</f>
        <v>60000</v>
      </c>
      <c r="D40" s="101">
        <f t="shared" si="2"/>
        <v>60000</v>
      </c>
      <c r="E40" s="37">
        <f>'[1]B61'!E61</f>
        <v>123242.338632</v>
      </c>
      <c r="F40" s="37">
        <f>E40</f>
        <v>123242.338632</v>
      </c>
      <c r="G40" s="102">
        <f t="shared" si="0"/>
        <v>2.0540389772</v>
      </c>
      <c r="H40" s="102">
        <f t="shared" si="0"/>
        <v>2.0540389772</v>
      </c>
    </row>
    <row r="41" spans="1:8" ht="15.75">
      <c r="A41" s="26">
        <v>12</v>
      </c>
      <c r="B41" s="100" t="s">
        <v>28</v>
      </c>
      <c r="C41" s="101">
        <f>'[1]B61'!C74</f>
        <v>500</v>
      </c>
      <c r="D41" s="101">
        <f t="shared" si="2"/>
        <v>500</v>
      </c>
      <c r="E41" s="37">
        <f>'[1]B61'!E74</f>
        <v>783.3</v>
      </c>
      <c r="F41" s="37">
        <f>'[1]50'!E41</f>
        <v>783.3</v>
      </c>
      <c r="G41" s="102">
        <f t="shared" si="0"/>
        <v>1.5666</v>
      </c>
      <c r="H41" s="102">
        <f t="shared" si="0"/>
        <v>1.5666</v>
      </c>
    </row>
    <row r="42" spans="1:8" ht="22.5" customHeight="1">
      <c r="A42" s="26">
        <v>13</v>
      </c>
      <c r="B42" s="100" t="s">
        <v>29</v>
      </c>
      <c r="C42" s="101">
        <f>'[1]B61'!C82</f>
        <v>17000</v>
      </c>
      <c r="D42" s="101">
        <f t="shared" si="2"/>
        <v>17000</v>
      </c>
      <c r="E42" s="37">
        <f>'[1]B61'!E82</f>
        <v>23352.846653</v>
      </c>
      <c r="F42" s="37">
        <f aca="true" t="shared" si="3" ref="F42:F47">E42</f>
        <v>23352.846653</v>
      </c>
      <c r="G42" s="102">
        <f t="shared" si="0"/>
        <v>1.3736968619411765</v>
      </c>
      <c r="H42" s="102">
        <f t="shared" si="0"/>
        <v>1.3736968619411765</v>
      </c>
    </row>
    <row r="43" spans="1:8" ht="22.5" customHeight="1">
      <c r="A43" s="100"/>
      <c r="B43" s="100" t="s">
        <v>39</v>
      </c>
      <c r="C43" s="101">
        <v>7500</v>
      </c>
      <c r="D43" s="101">
        <f t="shared" si="2"/>
        <v>7500</v>
      </c>
      <c r="E43" s="37">
        <v>9248.784835</v>
      </c>
      <c r="F43" s="37">
        <f t="shared" si="3"/>
        <v>9248.784835</v>
      </c>
      <c r="G43" s="102"/>
      <c r="H43" s="102">
        <f t="shared" si="0"/>
        <v>1.2331713113333334</v>
      </c>
    </row>
    <row r="44" spans="1:8" ht="22.5" customHeight="1">
      <c r="A44" s="100"/>
      <c r="B44" s="100" t="s">
        <v>40</v>
      </c>
      <c r="C44" s="101">
        <v>230</v>
      </c>
      <c r="D44" s="101">
        <f t="shared" si="2"/>
        <v>230</v>
      </c>
      <c r="E44" s="37">
        <v>653.343195</v>
      </c>
      <c r="F44" s="37">
        <f t="shared" si="3"/>
        <v>653.343195</v>
      </c>
      <c r="G44" s="102"/>
      <c r="H44" s="102"/>
    </row>
    <row r="45" spans="1:8" ht="22.5" customHeight="1">
      <c r="A45" s="100"/>
      <c r="B45" s="103" t="s">
        <v>70</v>
      </c>
      <c r="C45" s="101"/>
      <c r="D45" s="101">
        <f t="shared" si="2"/>
        <v>0</v>
      </c>
      <c r="E45" s="37">
        <v>1357.142219</v>
      </c>
      <c r="F45" s="37">
        <f t="shared" si="3"/>
        <v>1357.142219</v>
      </c>
      <c r="G45" s="102"/>
      <c r="H45" s="102"/>
    </row>
    <row r="46" spans="1:8" ht="22.5" customHeight="1">
      <c r="A46" s="100"/>
      <c r="B46" s="103" t="s">
        <v>41</v>
      </c>
      <c r="C46" s="101">
        <v>9270</v>
      </c>
      <c r="D46" s="101">
        <f t="shared" si="2"/>
        <v>9270</v>
      </c>
      <c r="E46" s="37">
        <v>12093.576404</v>
      </c>
      <c r="F46" s="37">
        <f t="shared" si="3"/>
        <v>12093.576404</v>
      </c>
      <c r="G46" s="102"/>
      <c r="H46" s="102"/>
    </row>
    <row r="47" spans="1:8" ht="22.5" customHeight="1">
      <c r="A47" s="26">
        <v>14</v>
      </c>
      <c r="B47" s="100" t="s">
        <v>141</v>
      </c>
      <c r="C47" s="101">
        <f>'[1]B61'!C77</f>
        <v>10000</v>
      </c>
      <c r="D47" s="101">
        <f t="shared" si="2"/>
        <v>10000</v>
      </c>
      <c r="E47" s="37">
        <f>'[1]B61'!E77</f>
        <v>6989.2988000000005</v>
      </c>
      <c r="F47" s="37">
        <f t="shared" si="3"/>
        <v>6989.2988000000005</v>
      </c>
      <c r="G47" s="102">
        <f t="shared" si="0"/>
        <v>0.69892988</v>
      </c>
      <c r="H47" s="102">
        <f t="shared" si="0"/>
        <v>0.69892988</v>
      </c>
    </row>
    <row r="48" spans="1:8" ht="22.5" customHeight="1">
      <c r="A48" s="26">
        <v>15</v>
      </c>
      <c r="B48" s="100" t="s">
        <v>142</v>
      </c>
      <c r="C48" s="101">
        <f>'[1]B61'!C75</f>
        <v>13500</v>
      </c>
      <c r="D48" s="101">
        <f>'[1]B61'!C75-'[1]B61'!C76</f>
        <v>5000</v>
      </c>
      <c r="E48" s="37">
        <f>'[1]B61'!E75</f>
        <v>42002.862809</v>
      </c>
      <c r="F48" s="37">
        <f>'[1]B61'!E75-'[1]B61'!F75</f>
        <v>26622.886767999997</v>
      </c>
      <c r="G48" s="102">
        <f t="shared" si="0"/>
        <v>3.111323171037037</v>
      </c>
      <c r="H48" s="102">
        <f t="shared" si="0"/>
        <v>5.3245773536</v>
      </c>
    </row>
    <row r="49" spans="1:8" ht="22.5" customHeight="1">
      <c r="A49" s="26">
        <v>16</v>
      </c>
      <c r="B49" s="100" t="s">
        <v>30</v>
      </c>
      <c r="C49" s="101">
        <f>'[1]B61'!C80</f>
        <v>3800</v>
      </c>
      <c r="D49" s="101">
        <f>C49</f>
        <v>3800</v>
      </c>
      <c r="E49" s="37">
        <f>'[1]B61'!E80</f>
        <v>3796.030826</v>
      </c>
      <c r="F49" s="37">
        <f>E49</f>
        <v>3796.030826</v>
      </c>
      <c r="G49" s="102">
        <f t="shared" si="0"/>
        <v>0.9989554805263159</v>
      </c>
      <c r="H49" s="102">
        <f t="shared" si="0"/>
        <v>0.9989554805263159</v>
      </c>
    </row>
    <row r="50" spans="1:8" ht="22.5" customHeight="1" hidden="1">
      <c r="A50" s="26">
        <v>17</v>
      </c>
      <c r="B50" s="100" t="s">
        <v>31</v>
      </c>
      <c r="C50" s="101"/>
      <c r="D50" s="101"/>
      <c r="E50" s="37"/>
      <c r="F50" s="37"/>
      <c r="G50" s="102"/>
      <c r="H50" s="102"/>
    </row>
    <row r="51" spans="1:8" ht="47.25" hidden="1">
      <c r="A51" s="26">
        <v>18</v>
      </c>
      <c r="B51" s="100" t="s">
        <v>32</v>
      </c>
      <c r="C51" s="101"/>
      <c r="D51" s="101"/>
      <c r="E51" s="37"/>
      <c r="F51" s="37"/>
      <c r="G51" s="102"/>
      <c r="H51" s="102"/>
    </row>
    <row r="52" spans="1:8" ht="22.5" customHeight="1" hidden="1">
      <c r="A52" s="26">
        <v>19</v>
      </c>
      <c r="B52" s="100" t="s">
        <v>33</v>
      </c>
      <c r="C52" s="101"/>
      <c r="D52" s="101"/>
      <c r="E52" s="37"/>
      <c r="F52" s="37"/>
      <c r="G52" s="102"/>
      <c r="H52" s="102"/>
    </row>
    <row r="53" spans="1:8" s="95" customFormat="1" ht="22.5" customHeight="1">
      <c r="A53" s="25" t="s">
        <v>365</v>
      </c>
      <c r="B53" s="97" t="s">
        <v>34</v>
      </c>
      <c r="C53" s="98"/>
      <c r="D53" s="98"/>
      <c r="E53" s="36"/>
      <c r="F53" s="36"/>
      <c r="G53" s="99"/>
      <c r="H53" s="99"/>
    </row>
    <row r="54" spans="1:8" s="95" customFormat="1" ht="22.5" customHeight="1">
      <c r="A54" s="25" t="s">
        <v>366</v>
      </c>
      <c r="B54" s="97" t="s">
        <v>35</v>
      </c>
      <c r="C54" s="98">
        <f>SUM(C55:C60)</f>
        <v>15500</v>
      </c>
      <c r="D54" s="98">
        <f>SUM(D55:D60)</f>
        <v>0</v>
      </c>
      <c r="E54" s="36">
        <f>SUM(E55:E60)</f>
        <v>16070.300778</v>
      </c>
      <c r="F54" s="36">
        <f>SUM(F55:F60)</f>
        <v>0</v>
      </c>
      <c r="G54" s="99">
        <f t="shared" si="0"/>
        <v>1.0367935985806451</v>
      </c>
      <c r="H54" s="99"/>
    </row>
    <row r="55" spans="1:8" ht="22.5" customHeight="1">
      <c r="A55" s="26">
        <v>1</v>
      </c>
      <c r="B55" s="100" t="s">
        <v>291</v>
      </c>
      <c r="C55" s="101"/>
      <c r="D55" s="101"/>
      <c r="E55" s="37"/>
      <c r="F55" s="37"/>
      <c r="G55" s="102"/>
      <c r="H55" s="102"/>
    </row>
    <row r="56" spans="1:8" ht="22.5" customHeight="1">
      <c r="A56" s="26">
        <v>2</v>
      </c>
      <c r="B56" s="100" t="s">
        <v>143</v>
      </c>
      <c r="C56" s="101">
        <f>'[1]B61'!C96</f>
        <v>500</v>
      </c>
      <c r="D56" s="101"/>
      <c r="E56" s="37">
        <f>'[1]B61'!F96</f>
        <v>1574.620421</v>
      </c>
      <c r="F56" s="37"/>
      <c r="G56" s="102">
        <f t="shared" si="0"/>
        <v>3.149240842</v>
      </c>
      <c r="H56" s="102"/>
    </row>
    <row r="57" spans="1:8" ht="22.5" customHeight="1">
      <c r="A57" s="26">
        <v>3</v>
      </c>
      <c r="B57" s="100" t="s">
        <v>36</v>
      </c>
      <c r="C57" s="101"/>
      <c r="D57" s="101"/>
      <c r="E57" s="37">
        <f>'[1]B61'!E97</f>
        <v>9.062</v>
      </c>
      <c r="F57" s="37"/>
      <c r="G57" s="102"/>
      <c r="H57" s="102"/>
    </row>
    <row r="58" spans="1:8" ht="35.25" customHeight="1">
      <c r="A58" s="26">
        <v>4</v>
      </c>
      <c r="B58" s="100" t="s">
        <v>415</v>
      </c>
      <c r="C58" s="101"/>
      <c r="D58" s="101"/>
      <c r="E58" s="37"/>
      <c r="F58" s="37"/>
      <c r="G58" s="102"/>
      <c r="H58" s="102"/>
    </row>
    <row r="59" spans="1:8" ht="22.5" customHeight="1">
      <c r="A59" s="26">
        <v>5</v>
      </c>
      <c r="B59" s="100" t="s">
        <v>416</v>
      </c>
      <c r="C59" s="101">
        <f>'[1]B61'!C98</f>
        <v>15000</v>
      </c>
      <c r="D59" s="101"/>
      <c r="E59" s="37">
        <f>'[1]B61'!E98</f>
        <v>14357.785535</v>
      </c>
      <c r="F59" s="37"/>
      <c r="G59" s="102">
        <f t="shared" si="0"/>
        <v>0.9571857023333334</v>
      </c>
      <c r="H59" s="102"/>
    </row>
    <row r="60" spans="1:8" ht="22.5" customHeight="1">
      <c r="A60" s="26">
        <v>6</v>
      </c>
      <c r="B60" s="100" t="s">
        <v>144</v>
      </c>
      <c r="C60" s="101"/>
      <c r="D60" s="101"/>
      <c r="E60" s="37">
        <f>'[1]B61'!E102+'[1]B61'!E103</f>
        <v>128.832822</v>
      </c>
      <c r="F60" s="37"/>
      <c r="G60" s="102"/>
      <c r="H60" s="102"/>
    </row>
    <row r="61" spans="1:8" s="95" customFormat="1" ht="22.5" customHeight="1">
      <c r="A61" s="25" t="s">
        <v>367</v>
      </c>
      <c r="B61" s="97" t="s">
        <v>145</v>
      </c>
      <c r="C61" s="98"/>
      <c r="D61" s="98"/>
      <c r="E61" s="36">
        <f>'[1]B61'!E104</f>
        <v>19372.441975</v>
      </c>
      <c r="F61" s="36">
        <f>E61</f>
        <v>19372.441975</v>
      </c>
      <c r="G61" s="99"/>
      <c r="H61" s="99"/>
    </row>
    <row r="62" spans="1:8" s="95" customFormat="1" ht="22.5" customHeight="1">
      <c r="A62" s="25" t="s">
        <v>381</v>
      </c>
      <c r="B62" s="97" t="str">
        <f>'[1]B61'!B105</f>
        <v>Các khoản huy động, đóng góp</v>
      </c>
      <c r="C62" s="98"/>
      <c r="D62" s="98"/>
      <c r="E62" s="36">
        <f>'[1]B61'!E105</f>
        <v>14170.317762</v>
      </c>
      <c r="F62" s="36">
        <f>E62</f>
        <v>14170.317762</v>
      </c>
      <c r="G62" s="99"/>
      <c r="H62" s="99"/>
    </row>
    <row r="63" spans="1:8" s="95" customFormat="1" ht="22.5" customHeight="1">
      <c r="A63" s="25" t="s">
        <v>361</v>
      </c>
      <c r="B63" s="97" t="s">
        <v>417</v>
      </c>
      <c r="C63" s="98"/>
      <c r="D63" s="98"/>
      <c r="E63" s="36"/>
      <c r="F63" s="36"/>
      <c r="G63" s="99"/>
      <c r="H63" s="99"/>
    </row>
    <row r="64" spans="1:8" s="95" customFormat="1" ht="22.5" customHeight="1">
      <c r="A64" s="25" t="s">
        <v>368</v>
      </c>
      <c r="B64" s="97" t="s">
        <v>418</v>
      </c>
      <c r="C64" s="98"/>
      <c r="D64" s="98"/>
      <c r="E64" s="36">
        <f>'[1]B61'!E129</f>
        <v>3688.605115</v>
      </c>
      <c r="F64" s="36">
        <f>E64</f>
        <v>3688.605115</v>
      </c>
      <c r="G64" s="99"/>
      <c r="H64" s="99"/>
    </row>
    <row r="65" spans="1:8" s="95" customFormat="1" ht="31.5">
      <c r="A65" s="25" t="s">
        <v>371</v>
      </c>
      <c r="B65" s="97" t="s">
        <v>419</v>
      </c>
      <c r="C65" s="98"/>
      <c r="D65" s="98"/>
      <c r="E65" s="36">
        <f>'[1]B61'!E128</f>
        <v>1491470.7186560002</v>
      </c>
      <c r="F65" s="36">
        <f>E65</f>
        <v>1491470.7186560002</v>
      </c>
      <c r="G65" s="99"/>
      <c r="H65" s="99"/>
    </row>
    <row r="66" spans="1:8" s="95" customFormat="1" ht="34.5" customHeight="1">
      <c r="A66" s="250" t="s">
        <v>376</v>
      </c>
      <c r="B66" s="251" t="s">
        <v>71</v>
      </c>
      <c r="C66" s="252"/>
      <c r="D66" s="252"/>
      <c r="E66" s="41">
        <v>173880.067562</v>
      </c>
      <c r="F66" s="41">
        <v>54246.742815</v>
      </c>
      <c r="G66" s="104"/>
      <c r="H66" s="104"/>
    </row>
    <row r="67" ht="21" customHeight="1">
      <c r="A67" s="105"/>
    </row>
    <row r="68" spans="1:8" ht="36.75" customHeight="1">
      <c r="A68" s="364"/>
      <c r="B68" s="364"/>
      <c r="C68" s="364"/>
      <c r="D68" s="364"/>
      <c r="E68" s="364"/>
      <c r="F68" s="364"/>
      <c r="G68" s="364"/>
      <c r="H68" s="364"/>
    </row>
    <row r="69" spans="1:8" ht="36.75" customHeight="1">
      <c r="A69" s="364"/>
      <c r="B69" s="364"/>
      <c r="C69" s="364"/>
      <c r="D69" s="364"/>
      <c r="E69" s="364"/>
      <c r="F69" s="364"/>
      <c r="G69" s="364"/>
      <c r="H69" s="364"/>
    </row>
    <row r="70" spans="1:8" ht="49.5" customHeight="1">
      <c r="A70" s="364"/>
      <c r="B70" s="364"/>
      <c r="C70" s="364"/>
      <c r="D70" s="364"/>
      <c r="E70" s="364"/>
      <c r="F70" s="364"/>
      <c r="G70" s="364"/>
      <c r="H70" s="364"/>
    </row>
    <row r="71" spans="1:8" ht="49.5" customHeight="1">
      <c r="A71" s="364"/>
      <c r="B71" s="364"/>
      <c r="C71" s="364"/>
      <c r="D71" s="364"/>
      <c r="E71" s="364"/>
      <c r="F71" s="364"/>
      <c r="G71" s="364"/>
      <c r="H71" s="364"/>
    </row>
    <row r="72" spans="1:8" ht="69.75" customHeight="1">
      <c r="A72" s="364"/>
      <c r="B72" s="364"/>
      <c r="C72" s="364"/>
      <c r="D72" s="364"/>
      <c r="E72" s="364"/>
      <c r="F72" s="364"/>
      <c r="G72" s="364"/>
      <c r="H72" s="364"/>
    </row>
  </sheetData>
  <sheetProtection/>
  <mergeCells count="14">
    <mergeCell ref="A72:H72"/>
    <mergeCell ref="A68:H68"/>
    <mergeCell ref="A69:H69"/>
    <mergeCell ref="A70:H70"/>
    <mergeCell ref="A71:H71"/>
    <mergeCell ref="C34:C36"/>
    <mergeCell ref="A2:H2"/>
    <mergeCell ref="A3:H3"/>
    <mergeCell ref="A5:A6"/>
    <mergeCell ref="B5:B6"/>
    <mergeCell ref="C5:D5"/>
    <mergeCell ref="E5:F5"/>
    <mergeCell ref="G5:H5"/>
    <mergeCell ref="F4:H4"/>
  </mergeCells>
  <printOptions horizontalCentered="1"/>
  <pageMargins left="0" right="0" top="0.5" bottom="0" header="0.5" footer="0.5"/>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sheetPr>
    <tabColor indexed="33"/>
  </sheetPr>
  <dimension ref="A1:H80"/>
  <sheetViews>
    <sheetView zoomScalePageLayoutView="0" workbookViewId="0" topLeftCell="A1">
      <pane xSplit="2" ySplit="7" topLeftCell="C32" activePane="bottomRight" state="frozen"/>
      <selection pane="topLeft" activeCell="A1" sqref="A1"/>
      <selection pane="topRight" activeCell="C1" sqref="C1"/>
      <selection pane="bottomLeft" activeCell="A7" sqref="A7"/>
      <selection pane="bottomRight" activeCell="B34" sqref="B34"/>
    </sheetView>
  </sheetViews>
  <sheetFormatPr defaultColWidth="10.421875" defaultRowHeight="15"/>
  <cols>
    <col min="1" max="1" width="7.28125" style="106" customWidth="1"/>
    <col min="2" max="2" width="68.7109375" style="106" customWidth="1"/>
    <col min="3" max="3" width="14.28125" style="106" customWidth="1"/>
    <col min="4" max="4" width="17.00390625" style="106" customWidth="1"/>
    <col min="5" max="5" width="15.421875" style="106" customWidth="1"/>
    <col min="6" max="6" width="18.7109375" style="106" customWidth="1"/>
    <col min="7" max="7" width="11.421875" style="106" bestFit="1" customWidth="1"/>
    <col min="8" max="16384" width="10.421875" style="106" customWidth="1"/>
  </cols>
  <sheetData>
    <row r="1" ht="15.75">
      <c r="E1" s="107" t="s">
        <v>312</v>
      </c>
    </row>
    <row r="2" spans="1:5" ht="39.75" customHeight="1">
      <c r="A2" s="367" t="s">
        <v>480</v>
      </c>
      <c r="B2" s="367"/>
      <c r="C2" s="367"/>
      <c r="D2" s="367"/>
      <c r="E2" s="367"/>
    </row>
    <row r="3" spans="1:8" ht="16.5" customHeight="1">
      <c r="A3" s="351" t="str">
        <f>'Biểu 01'!A4:F4</f>
        <v>(Kèm theo Nghị quyết  số 111/NQ-HĐND ngày  10 tháng  7  năm 2019 của Hội đồng nhân dân tỉnh Điện Biên)</v>
      </c>
      <c r="B3" s="351"/>
      <c r="C3" s="351"/>
      <c r="D3" s="351"/>
      <c r="E3" s="351"/>
      <c r="F3" s="174"/>
      <c r="G3" s="174"/>
      <c r="H3" s="174"/>
    </row>
    <row r="4" spans="3:5" ht="15.75">
      <c r="C4" s="108"/>
      <c r="E4" s="109" t="s">
        <v>363</v>
      </c>
    </row>
    <row r="5" spans="1:5" ht="22.5" customHeight="1">
      <c r="A5" s="368" t="s">
        <v>358</v>
      </c>
      <c r="B5" s="368" t="s">
        <v>395</v>
      </c>
      <c r="C5" s="370" t="s">
        <v>287</v>
      </c>
      <c r="D5" s="368" t="s">
        <v>331</v>
      </c>
      <c r="E5" s="370" t="s">
        <v>205</v>
      </c>
    </row>
    <row r="6" spans="1:5" ht="41.25" customHeight="1">
      <c r="A6" s="369"/>
      <c r="B6" s="369"/>
      <c r="C6" s="371"/>
      <c r="D6" s="369"/>
      <c r="E6" s="371"/>
    </row>
    <row r="7" spans="1:5" ht="15.75">
      <c r="A7" s="111">
        <v>1</v>
      </c>
      <c r="B7" s="111">
        <v>2</v>
      </c>
      <c r="C7" s="111">
        <v>3</v>
      </c>
      <c r="D7" s="111">
        <v>4</v>
      </c>
      <c r="E7" s="111" t="s">
        <v>288</v>
      </c>
    </row>
    <row r="8" spans="1:7" ht="24" customHeight="1">
      <c r="A8" s="31"/>
      <c r="B8" s="32" t="s">
        <v>338</v>
      </c>
      <c r="C8" s="112">
        <f>SUM(C9,C25)</f>
        <v>7652022</v>
      </c>
      <c r="D8" s="113">
        <f>SUM(D9,D25,D79)</f>
        <v>10329154.113309002</v>
      </c>
      <c r="E8" s="114">
        <f aca="true" t="shared" si="0" ref="E8:E13">D8/C8</f>
        <v>1.3498594375851247</v>
      </c>
      <c r="F8" s="253">
        <f>'[2]48'!D20</f>
        <v>10503034.180443</v>
      </c>
      <c r="G8" s="253">
        <f>F8-D8</f>
        <v>173880.0671339985</v>
      </c>
    </row>
    <row r="9" spans="1:5" ht="15.75">
      <c r="A9" s="31" t="s">
        <v>360</v>
      </c>
      <c r="B9" s="32" t="s">
        <v>339</v>
      </c>
      <c r="C9" s="112">
        <f>SUM(C10,C17,C21,C22:C24)</f>
        <v>6486538</v>
      </c>
      <c r="D9" s="113">
        <f>SUM(D10,D17,D21,D22:D24)</f>
        <v>7019952.706678</v>
      </c>
      <c r="E9" s="114">
        <f t="shared" si="0"/>
        <v>1.0822341142036014</v>
      </c>
    </row>
    <row r="10" spans="1:5" ht="15.75">
      <c r="A10" s="31" t="s">
        <v>369</v>
      </c>
      <c r="B10" s="32" t="s">
        <v>136</v>
      </c>
      <c r="C10" s="112">
        <f>SUM(C11:C16)</f>
        <v>607852</v>
      </c>
      <c r="D10" s="113">
        <f>SUM(D11:D16)</f>
        <v>667664.640428</v>
      </c>
      <c r="E10" s="114">
        <f t="shared" si="0"/>
        <v>1.0984000059685581</v>
      </c>
    </row>
    <row r="11" spans="1:5" ht="15.75">
      <c r="A11" s="29">
        <v>1</v>
      </c>
      <c r="B11" s="30" t="s">
        <v>197</v>
      </c>
      <c r="C11" s="115">
        <v>530852</v>
      </c>
      <c r="D11" s="116">
        <v>509360.54278</v>
      </c>
      <c r="E11" s="117">
        <f t="shared" si="0"/>
        <v>0.9595151620037223</v>
      </c>
    </row>
    <row r="12" spans="1:5" ht="15.75">
      <c r="A12" s="29">
        <v>2</v>
      </c>
      <c r="B12" s="30" t="s">
        <v>198</v>
      </c>
      <c r="C12" s="115">
        <v>60000</v>
      </c>
      <c r="D12" s="116">
        <v>87688.521885</v>
      </c>
      <c r="E12" s="117">
        <f t="shared" si="0"/>
        <v>1.4614753647499998</v>
      </c>
    </row>
    <row r="13" spans="1:5" ht="15.75">
      <c r="A13" s="29">
        <v>3</v>
      </c>
      <c r="B13" s="30" t="s">
        <v>201</v>
      </c>
      <c r="C13" s="115">
        <v>17000</v>
      </c>
      <c r="D13" s="116">
        <v>13489.711</v>
      </c>
      <c r="E13" s="117">
        <f t="shared" si="0"/>
        <v>0.7935124117647059</v>
      </c>
    </row>
    <row r="14" spans="1:5" ht="15.75">
      <c r="A14" s="29">
        <v>4</v>
      </c>
      <c r="B14" s="30" t="s">
        <v>202</v>
      </c>
      <c r="C14" s="115"/>
      <c r="D14" s="116">
        <v>17206.196112</v>
      </c>
      <c r="E14" s="115"/>
    </row>
    <row r="15" spans="1:5" ht="15.75">
      <c r="A15" s="29">
        <v>5</v>
      </c>
      <c r="B15" s="30" t="s">
        <v>199</v>
      </c>
      <c r="C15" s="115"/>
      <c r="D15" s="116">
        <v>37569.668651</v>
      </c>
      <c r="E15" s="115"/>
    </row>
    <row r="16" spans="1:5" ht="15.75">
      <c r="A16" s="29">
        <v>6</v>
      </c>
      <c r="B16" s="30" t="s">
        <v>200</v>
      </c>
      <c r="C16" s="115"/>
      <c r="D16" s="116">
        <v>2350</v>
      </c>
      <c r="E16" s="115"/>
    </row>
    <row r="17" spans="1:5" ht="15.75">
      <c r="A17" s="31" t="s">
        <v>365</v>
      </c>
      <c r="B17" s="32" t="s">
        <v>373</v>
      </c>
      <c r="C17" s="112">
        <v>5727460</v>
      </c>
      <c r="D17" s="113">
        <v>6349606.838627</v>
      </c>
      <c r="E17" s="114">
        <f>D17/C17</f>
        <v>1.1086252612199823</v>
      </c>
    </row>
    <row r="18" spans="1:5" ht="15.75">
      <c r="A18" s="29"/>
      <c r="B18" s="33" t="s">
        <v>384</v>
      </c>
      <c r="C18" s="115"/>
      <c r="D18" s="116"/>
      <c r="E18" s="115"/>
    </row>
    <row r="19" spans="1:5" ht="15.75">
      <c r="A19" s="29">
        <v>1</v>
      </c>
      <c r="B19" s="33" t="s">
        <v>147</v>
      </c>
      <c r="C19" s="118">
        <v>2813702</v>
      </c>
      <c r="D19" s="116">
        <v>3150843.953715</v>
      </c>
      <c r="E19" s="117">
        <f>D19/C19</f>
        <v>1.1198214856139703</v>
      </c>
    </row>
    <row r="20" spans="1:5" ht="15.75">
      <c r="A20" s="29">
        <v>2</v>
      </c>
      <c r="B20" s="33" t="s">
        <v>148</v>
      </c>
      <c r="C20" s="118">
        <v>12550</v>
      </c>
      <c r="D20" s="116">
        <v>14413.096657</v>
      </c>
      <c r="E20" s="117">
        <f>D20/C20</f>
        <v>1.1484539168924304</v>
      </c>
    </row>
    <row r="21" spans="1:5" ht="15.75">
      <c r="A21" s="31" t="s">
        <v>366</v>
      </c>
      <c r="B21" s="32" t="s">
        <v>374</v>
      </c>
      <c r="C21" s="112">
        <v>3817</v>
      </c>
      <c r="D21" s="113">
        <v>1681.227623</v>
      </c>
      <c r="E21" s="114">
        <f>D21/C21</f>
        <v>0.4404578525019649</v>
      </c>
    </row>
    <row r="22" spans="1:5" ht="15.75">
      <c r="A22" s="31" t="s">
        <v>367</v>
      </c>
      <c r="B22" s="32" t="s">
        <v>120</v>
      </c>
      <c r="C22" s="112">
        <v>1000</v>
      </c>
      <c r="D22" s="113">
        <v>1000</v>
      </c>
      <c r="E22" s="114">
        <f>D22/C22</f>
        <v>1</v>
      </c>
    </row>
    <row r="23" spans="1:5" ht="15.75">
      <c r="A23" s="31" t="s">
        <v>381</v>
      </c>
      <c r="B23" s="32" t="s">
        <v>121</v>
      </c>
      <c r="C23" s="112">
        <v>132290</v>
      </c>
      <c r="D23" s="116"/>
      <c r="E23" s="115"/>
    </row>
    <row r="24" spans="1:5" ht="15.75">
      <c r="A24" s="31" t="s">
        <v>150</v>
      </c>
      <c r="B24" s="32" t="s">
        <v>375</v>
      </c>
      <c r="C24" s="112">
        <v>14119</v>
      </c>
      <c r="D24" s="116"/>
      <c r="E24" s="115"/>
    </row>
    <row r="25" spans="1:5" ht="15.75">
      <c r="A25" s="31" t="s">
        <v>361</v>
      </c>
      <c r="B25" s="32" t="s">
        <v>151</v>
      </c>
      <c r="C25" s="112">
        <f>SUM(C26,C47)</f>
        <v>1165484</v>
      </c>
      <c r="D25" s="113">
        <f>SUM(D26,D47)</f>
        <v>1537469.486893</v>
      </c>
      <c r="E25" s="114">
        <f>D25/C25</f>
        <v>1.3191682484641574</v>
      </c>
    </row>
    <row r="26" spans="1:5" ht="15.75">
      <c r="A26" s="31" t="s">
        <v>369</v>
      </c>
      <c r="B26" s="32" t="s">
        <v>123</v>
      </c>
      <c r="C26" s="112">
        <f>SUM(C29,C39,C40,C45:C45,C46)</f>
        <v>544519</v>
      </c>
      <c r="D26" s="113">
        <f>SUM(D29,D39,D40,D45:D45,D46)</f>
        <v>544571.690136</v>
      </c>
      <c r="E26" s="114">
        <f>SUM(E29,E39,E40,E45:E45,E46)</f>
        <v>1.9708036940857716</v>
      </c>
    </row>
    <row r="27" spans="1:5" ht="15.75">
      <c r="A27" s="31"/>
      <c r="B27" s="254" t="s">
        <v>166</v>
      </c>
      <c r="C27" s="112">
        <f>SUM(C31,C34,C41,C46)</f>
        <v>142000</v>
      </c>
      <c r="D27" s="113">
        <f>SUM(D31,D34,D41,D46)</f>
        <v>410608.759599</v>
      </c>
      <c r="E27" s="114"/>
    </row>
    <row r="28" spans="1:5" ht="15.75">
      <c r="A28" s="31"/>
      <c r="B28" s="254" t="s">
        <v>167</v>
      </c>
      <c r="C28" s="112">
        <f>SUM(C32,C35,C36,C37,C38,C39,C44,C45)</f>
        <v>58300</v>
      </c>
      <c r="D28" s="113">
        <f>SUM(D32,D35,D36,D37,D38,D39,D44,D45)</f>
        <v>133962.930537</v>
      </c>
      <c r="E28" s="114"/>
    </row>
    <row r="29" spans="1:5" ht="15.75">
      <c r="A29" s="31">
        <v>1</v>
      </c>
      <c r="B29" s="119" t="s">
        <v>290</v>
      </c>
      <c r="C29" s="112">
        <v>344219</v>
      </c>
      <c r="D29" s="113">
        <f>SUM(D30,D33,D36,D37,D38)</f>
        <v>357071.17537799996</v>
      </c>
      <c r="E29" s="117">
        <f>D29/C29</f>
        <v>1.0373372050293561</v>
      </c>
    </row>
    <row r="30" spans="1:5" ht="15.75">
      <c r="A30" s="8" t="s">
        <v>155</v>
      </c>
      <c r="B30" s="119" t="s">
        <v>156</v>
      </c>
      <c r="C30" s="112">
        <f>SUM(C31:C32)</f>
        <v>0</v>
      </c>
      <c r="D30" s="113">
        <f>SUM(D31:D32)</f>
        <v>203501.230249</v>
      </c>
      <c r="E30" s="115"/>
    </row>
    <row r="31" spans="1:5" ht="15.75">
      <c r="A31" s="120"/>
      <c r="B31" s="254" t="s">
        <v>166</v>
      </c>
      <c r="C31" s="115"/>
      <c r="D31" s="116">
        <f>119238.777903+34184.194202</f>
        <v>153422.972105</v>
      </c>
      <c r="E31" s="115"/>
    </row>
    <row r="32" spans="1:5" ht="15.75">
      <c r="A32" s="120"/>
      <c r="B32" s="254" t="s">
        <v>167</v>
      </c>
      <c r="C32" s="115"/>
      <c r="D32" s="116">
        <f>12623.23087+37006.530774+448.4965</f>
        <v>50078.258144</v>
      </c>
      <c r="E32" s="115"/>
    </row>
    <row r="33" spans="1:5" ht="15.75">
      <c r="A33" s="8" t="s">
        <v>157</v>
      </c>
      <c r="B33" s="255" t="s">
        <v>158</v>
      </c>
      <c r="C33" s="112">
        <f>SUM(C34:C35)</f>
        <v>0</v>
      </c>
      <c r="D33" s="113">
        <f>SUM(D34:D35)</f>
        <v>151438.319936</v>
      </c>
      <c r="E33" s="115"/>
    </row>
    <row r="34" spans="1:5" ht="15.75">
      <c r="A34" s="120"/>
      <c r="B34" s="254" t="s">
        <v>166</v>
      </c>
      <c r="C34" s="115"/>
      <c r="D34" s="116">
        <f>92978.726771+21781.029781</f>
        <v>114759.756552</v>
      </c>
      <c r="E34" s="115"/>
    </row>
    <row r="35" spans="1:5" ht="15.75">
      <c r="A35" s="120"/>
      <c r="B35" s="254" t="s">
        <v>167</v>
      </c>
      <c r="C35" s="115"/>
      <c r="D35" s="116">
        <f>7952.207743+26165.684792+2560.670849</f>
        <v>36678.563384</v>
      </c>
      <c r="E35" s="115"/>
    </row>
    <row r="36" spans="1:5" ht="47.25">
      <c r="A36" s="8" t="s">
        <v>159</v>
      </c>
      <c r="B36" s="255" t="s">
        <v>160</v>
      </c>
      <c r="C36" s="115"/>
      <c r="D36" s="113">
        <v>1036.384193</v>
      </c>
      <c r="E36" s="115"/>
    </row>
    <row r="37" spans="1:5" ht="15.75">
      <c r="A37" s="8" t="s">
        <v>161</v>
      </c>
      <c r="B37" s="255" t="s">
        <v>162</v>
      </c>
      <c r="C37" s="115"/>
      <c r="D37" s="113">
        <v>584.491</v>
      </c>
      <c r="E37" s="115"/>
    </row>
    <row r="38" spans="1:5" ht="31.5">
      <c r="A38" s="8" t="s">
        <v>163</v>
      </c>
      <c r="B38" s="255" t="s">
        <v>164</v>
      </c>
      <c r="C38" s="115"/>
      <c r="D38" s="113">
        <v>510.75</v>
      </c>
      <c r="E38" s="115"/>
    </row>
    <row r="39" spans="1:5" ht="15.75">
      <c r="A39" s="8">
        <v>2</v>
      </c>
      <c r="B39" s="9" t="s">
        <v>165</v>
      </c>
      <c r="C39" s="115"/>
      <c r="D39" s="113">
        <v>291.553</v>
      </c>
      <c r="E39" s="115"/>
    </row>
    <row r="40" spans="1:5" ht="15.75">
      <c r="A40" s="8">
        <v>3</v>
      </c>
      <c r="B40" s="9" t="s">
        <v>168</v>
      </c>
      <c r="C40" s="112">
        <f>SUM(C41,C44)</f>
        <v>200300</v>
      </c>
      <c r="D40" s="113">
        <f>SUM(D41,D44)</f>
        <v>186973.337758</v>
      </c>
      <c r="E40" s="114">
        <f>D40/C40</f>
        <v>0.9334664890564154</v>
      </c>
    </row>
    <row r="41" spans="1:5" ht="15.75">
      <c r="A41" s="8"/>
      <c r="B41" s="9" t="s">
        <v>169</v>
      </c>
      <c r="C41" s="112">
        <f>SUM(C42:C43)</f>
        <v>142000</v>
      </c>
      <c r="D41" s="113">
        <f>SUM(D42:D43)</f>
        <v>142372.109142</v>
      </c>
      <c r="E41" s="114">
        <f>D41/C41</f>
        <v>1.0026204869154929</v>
      </c>
    </row>
    <row r="42" spans="1:5" ht="15.75">
      <c r="A42" s="120"/>
      <c r="B42" s="10" t="s">
        <v>170</v>
      </c>
      <c r="C42" s="115">
        <v>142000</v>
      </c>
      <c r="D42" s="116">
        <v>132013.955775</v>
      </c>
      <c r="E42" s="117">
        <f>D42/C42</f>
        <v>0.9296757448943662</v>
      </c>
    </row>
    <row r="43" spans="1:5" ht="15.75">
      <c r="A43" s="120"/>
      <c r="B43" s="10" t="s">
        <v>171</v>
      </c>
      <c r="C43" s="115"/>
      <c r="D43" s="116">
        <v>10358.153367</v>
      </c>
      <c r="E43" s="115"/>
    </row>
    <row r="44" spans="1:5" ht="15.75">
      <c r="A44" s="8"/>
      <c r="B44" s="9" t="s">
        <v>172</v>
      </c>
      <c r="C44" s="115">
        <v>58300</v>
      </c>
      <c r="D44" s="116">
        <v>44601.228616</v>
      </c>
      <c r="E44" s="117">
        <f>D44/C44</f>
        <v>0.7650296503602059</v>
      </c>
    </row>
    <row r="45" spans="1:5" ht="15.75">
      <c r="A45" s="8">
        <v>4</v>
      </c>
      <c r="B45" s="9" t="s">
        <v>173</v>
      </c>
      <c r="C45" s="115"/>
      <c r="D45" s="116">
        <v>181.7022</v>
      </c>
      <c r="E45" s="115"/>
    </row>
    <row r="46" spans="1:5" ht="15.75">
      <c r="A46" s="8">
        <v>5</v>
      </c>
      <c r="B46" s="256" t="s">
        <v>174</v>
      </c>
      <c r="C46" s="115"/>
      <c r="D46" s="116">
        <v>53.9218</v>
      </c>
      <c r="E46" s="115"/>
    </row>
    <row r="47" spans="1:5" ht="15.75">
      <c r="A47" s="31" t="s">
        <v>365</v>
      </c>
      <c r="B47" s="32" t="s">
        <v>298</v>
      </c>
      <c r="C47" s="112">
        <f>SUM(C48,C56)</f>
        <v>620965</v>
      </c>
      <c r="D47" s="113">
        <f>SUM(D48,D56)</f>
        <v>992897.7967569999</v>
      </c>
      <c r="E47" s="114">
        <f>D47/C47</f>
        <v>1.598959356416223</v>
      </c>
    </row>
    <row r="48" spans="1:5" ht="15.75">
      <c r="A48" s="8" t="s">
        <v>294</v>
      </c>
      <c r="B48" s="9" t="s">
        <v>297</v>
      </c>
      <c r="C48" s="112">
        <f>SUM(C49:C51)</f>
        <v>562059</v>
      </c>
      <c r="D48" s="113">
        <f>SUM(D49:D51)</f>
        <v>917146.4760799999</v>
      </c>
      <c r="E48" s="114">
        <f>D48/C48</f>
        <v>1.6317619254918077</v>
      </c>
    </row>
    <row r="49" spans="1:5" ht="15.75">
      <c r="A49" s="9" t="s">
        <v>295</v>
      </c>
      <c r="B49" s="9" t="s">
        <v>175</v>
      </c>
      <c r="C49" s="112">
        <v>315769</v>
      </c>
      <c r="D49" s="113">
        <v>319116.864732</v>
      </c>
      <c r="E49" s="114">
        <f>D49/C49</f>
        <v>1.0106022590311272</v>
      </c>
    </row>
    <row r="50" spans="1:5" ht="15.75">
      <c r="A50" s="9" t="s">
        <v>296</v>
      </c>
      <c r="B50" s="9" t="s">
        <v>176</v>
      </c>
      <c r="C50" s="112">
        <v>246290</v>
      </c>
      <c r="D50" s="113">
        <v>310989.814957</v>
      </c>
      <c r="E50" s="114">
        <f>D50/C50</f>
        <v>1.2626976936010395</v>
      </c>
    </row>
    <row r="51" spans="1:5" ht="15.75">
      <c r="A51" s="9" t="s">
        <v>299</v>
      </c>
      <c r="B51" s="9" t="s">
        <v>177</v>
      </c>
      <c r="C51" s="115"/>
      <c r="D51" s="113">
        <v>287039.796391</v>
      </c>
      <c r="E51" s="115"/>
    </row>
    <row r="52" spans="1:5" ht="15.75">
      <c r="A52" s="10">
        <v>1</v>
      </c>
      <c r="B52" s="10" t="s">
        <v>178</v>
      </c>
      <c r="C52" s="115"/>
      <c r="D52" s="116">
        <v>163025.382188</v>
      </c>
      <c r="E52" s="115"/>
    </row>
    <row r="53" spans="1:5" ht="15.75">
      <c r="A53" s="10">
        <v>2</v>
      </c>
      <c r="B53" s="10" t="s">
        <v>179</v>
      </c>
      <c r="C53" s="115"/>
      <c r="D53" s="116">
        <v>9237.472452</v>
      </c>
      <c r="E53" s="115"/>
    </row>
    <row r="54" spans="1:5" ht="15.75">
      <c r="A54" s="10">
        <v>3</v>
      </c>
      <c r="B54" s="10" t="s">
        <v>180</v>
      </c>
      <c r="C54" s="115"/>
      <c r="D54" s="116">
        <v>112239.83887</v>
      </c>
      <c r="E54" s="115"/>
    </row>
    <row r="55" spans="1:5" ht="15.75">
      <c r="A55" s="10">
        <v>4</v>
      </c>
      <c r="B55" s="10" t="s">
        <v>181</v>
      </c>
      <c r="C55" s="115"/>
      <c r="D55" s="116">
        <v>2537.102881</v>
      </c>
      <c r="E55" s="115"/>
    </row>
    <row r="56" spans="1:5" ht="15.75">
      <c r="A56" s="121" t="s">
        <v>300</v>
      </c>
      <c r="B56" s="122" t="s">
        <v>182</v>
      </c>
      <c r="C56" s="112">
        <f>SUM(C57:C65,C66:C78)</f>
        <v>58906</v>
      </c>
      <c r="D56" s="113">
        <f>SUM(D57:D78)</f>
        <v>75751.32067699998</v>
      </c>
      <c r="E56" s="114">
        <f>D56/C56</f>
        <v>1.2859695222388208</v>
      </c>
    </row>
    <row r="57" spans="1:5" ht="15.75">
      <c r="A57" s="21">
        <v>1</v>
      </c>
      <c r="B57" s="12" t="s">
        <v>301</v>
      </c>
      <c r="C57" s="115"/>
      <c r="D57" s="116">
        <v>2161.403</v>
      </c>
      <c r="E57" s="115"/>
    </row>
    <row r="58" spans="1:5" ht="15.75">
      <c r="A58" s="257">
        <v>2</v>
      </c>
      <c r="B58" s="17" t="s">
        <v>183</v>
      </c>
      <c r="C58" s="115"/>
      <c r="D58" s="116">
        <v>5644.8845</v>
      </c>
      <c r="E58" s="115"/>
    </row>
    <row r="59" spans="1:5" ht="15.75">
      <c r="A59" s="21">
        <v>3</v>
      </c>
      <c r="B59" s="17" t="s">
        <v>184</v>
      </c>
      <c r="C59" s="115"/>
      <c r="D59" s="116">
        <v>800</v>
      </c>
      <c r="E59" s="115"/>
    </row>
    <row r="60" spans="1:5" ht="15.75">
      <c r="A60" s="257">
        <v>4</v>
      </c>
      <c r="B60" s="12" t="s">
        <v>185</v>
      </c>
      <c r="C60" s="115"/>
      <c r="D60" s="116">
        <v>650.4756</v>
      </c>
      <c r="E60" s="115"/>
    </row>
    <row r="61" spans="1:5" ht="15.75">
      <c r="A61" s="21">
        <v>5</v>
      </c>
      <c r="B61" s="17" t="s">
        <v>203</v>
      </c>
      <c r="C61" s="115"/>
      <c r="D61" s="116">
        <f>5015.705712+358.73</f>
        <v>5374.435712</v>
      </c>
      <c r="E61" s="115"/>
    </row>
    <row r="62" spans="1:5" ht="15.75">
      <c r="A62" s="257">
        <v>6</v>
      </c>
      <c r="B62" s="17" t="s">
        <v>186</v>
      </c>
      <c r="C62" s="115"/>
      <c r="D62" s="116">
        <v>26.349</v>
      </c>
      <c r="E62" s="115"/>
    </row>
    <row r="63" spans="1:5" ht="15.75">
      <c r="A63" s="21">
        <v>7</v>
      </c>
      <c r="B63" s="12" t="s">
        <v>15</v>
      </c>
      <c r="C63" s="115"/>
      <c r="D63" s="116">
        <v>111.8</v>
      </c>
      <c r="E63" s="115"/>
    </row>
    <row r="64" spans="1:5" ht="31.5">
      <c r="A64" s="257">
        <v>8</v>
      </c>
      <c r="B64" s="258" t="s">
        <v>195</v>
      </c>
      <c r="C64" s="115"/>
      <c r="D64" s="116">
        <v>32.977</v>
      </c>
      <c r="E64" s="115"/>
    </row>
    <row r="65" spans="1:5" ht="15.75">
      <c r="A65" s="21">
        <v>9</v>
      </c>
      <c r="B65" s="12" t="s">
        <v>187</v>
      </c>
      <c r="C65" s="115"/>
      <c r="D65" s="116">
        <v>540</v>
      </c>
      <c r="E65" s="115"/>
    </row>
    <row r="66" spans="1:5" ht="15.75">
      <c r="A66" s="257">
        <v>10</v>
      </c>
      <c r="B66" s="259" t="s">
        <v>188</v>
      </c>
      <c r="C66" s="115"/>
      <c r="D66" s="116">
        <v>7862.166868</v>
      </c>
      <c r="E66" s="115"/>
    </row>
    <row r="67" spans="1:5" ht="15.75">
      <c r="A67" s="21">
        <v>11</v>
      </c>
      <c r="B67" s="12" t="s">
        <v>189</v>
      </c>
      <c r="C67" s="115"/>
      <c r="D67" s="116">
        <v>4500</v>
      </c>
      <c r="E67" s="115"/>
    </row>
    <row r="68" spans="1:5" ht="15.75">
      <c r="A68" s="257">
        <v>12</v>
      </c>
      <c r="B68" s="17" t="s">
        <v>190</v>
      </c>
      <c r="C68" s="115">
        <v>2215</v>
      </c>
      <c r="D68" s="116">
        <v>1040.2834</v>
      </c>
      <c r="E68" s="117">
        <f>D68/C68</f>
        <v>0.4696539051918736</v>
      </c>
    </row>
    <row r="69" spans="1:5" ht="15.75">
      <c r="A69" s="21">
        <v>13</v>
      </c>
      <c r="B69" s="17" t="s">
        <v>191</v>
      </c>
      <c r="C69" s="115"/>
      <c r="D69" s="116">
        <v>10575.048326</v>
      </c>
      <c r="E69" s="115"/>
    </row>
    <row r="70" spans="1:5" ht="47.25">
      <c r="A70" s="257">
        <v>14</v>
      </c>
      <c r="B70" s="12" t="s">
        <v>192</v>
      </c>
      <c r="C70" s="115"/>
      <c r="D70" s="116">
        <v>1723.408</v>
      </c>
      <c r="E70" s="115"/>
    </row>
    <row r="71" spans="1:5" ht="15.75">
      <c r="A71" s="21">
        <v>15</v>
      </c>
      <c r="B71" s="11" t="s">
        <v>302</v>
      </c>
      <c r="C71" s="115"/>
      <c r="D71" s="116">
        <v>160.978585</v>
      </c>
      <c r="E71" s="115"/>
    </row>
    <row r="72" spans="1:5" ht="15.75">
      <c r="A72" s="257">
        <v>16</v>
      </c>
      <c r="B72" s="11" t="s">
        <v>193</v>
      </c>
      <c r="C72" s="115">
        <v>1610</v>
      </c>
      <c r="D72" s="116">
        <v>1022.998</v>
      </c>
      <c r="E72" s="117">
        <f>D72/C72</f>
        <v>0.6354024844720497</v>
      </c>
    </row>
    <row r="73" spans="1:5" ht="15.75">
      <c r="A73" s="21">
        <v>17</v>
      </c>
      <c r="B73" s="11" t="s">
        <v>329</v>
      </c>
      <c r="C73" s="115">
        <v>50000</v>
      </c>
      <c r="D73" s="116">
        <v>4344.647</v>
      </c>
      <c r="E73" s="117">
        <f>D73/C73</f>
        <v>0.08689294</v>
      </c>
    </row>
    <row r="74" spans="1:5" ht="15.75">
      <c r="A74" s="257">
        <v>18</v>
      </c>
      <c r="B74" s="260" t="s">
        <v>14</v>
      </c>
      <c r="C74" s="115"/>
      <c r="D74" s="116">
        <v>11096.66852</v>
      </c>
      <c r="E74" s="115"/>
    </row>
    <row r="75" spans="1:5" ht="15.75">
      <c r="A75" s="21">
        <v>19</v>
      </c>
      <c r="B75" s="11" t="s">
        <v>330</v>
      </c>
      <c r="C75" s="115"/>
      <c r="D75" s="116">
        <v>580</v>
      </c>
      <c r="E75" s="115"/>
    </row>
    <row r="76" spans="1:5" ht="15.75">
      <c r="A76" s="257">
        <v>20</v>
      </c>
      <c r="B76" s="11" t="s">
        <v>196</v>
      </c>
      <c r="C76" s="115">
        <v>221</v>
      </c>
      <c r="D76" s="116">
        <v>221</v>
      </c>
      <c r="E76" s="117">
        <f>D76/C76</f>
        <v>1</v>
      </c>
    </row>
    <row r="77" spans="1:5" ht="15.75">
      <c r="A77" s="21">
        <v>21</v>
      </c>
      <c r="B77" s="11" t="s">
        <v>11</v>
      </c>
      <c r="C77" s="115">
        <v>4860</v>
      </c>
      <c r="D77" s="116">
        <v>5037.422168</v>
      </c>
      <c r="E77" s="117">
        <f>D77/C77</f>
        <v>1.0365066189300411</v>
      </c>
    </row>
    <row r="78" spans="1:5" ht="15.75">
      <c r="A78" s="257">
        <v>22</v>
      </c>
      <c r="B78" s="12" t="s">
        <v>12</v>
      </c>
      <c r="C78" s="115"/>
      <c r="D78" s="116">
        <v>12244.374998</v>
      </c>
      <c r="E78" s="117"/>
    </row>
    <row r="79" spans="1:5" ht="15.75">
      <c r="A79" s="110" t="s">
        <v>368</v>
      </c>
      <c r="B79" s="123" t="s">
        <v>292</v>
      </c>
      <c r="C79" s="124"/>
      <c r="D79" s="125">
        <v>1771731.919738</v>
      </c>
      <c r="E79" s="124"/>
    </row>
    <row r="80" spans="1:5" ht="60" customHeight="1">
      <c r="A80" s="366"/>
      <c r="B80" s="366"/>
      <c r="C80" s="366"/>
      <c r="D80" s="366"/>
      <c r="E80" s="366"/>
    </row>
  </sheetData>
  <sheetProtection/>
  <mergeCells count="8">
    <mergeCell ref="A80:E80"/>
    <mergeCell ref="A2:E2"/>
    <mergeCell ref="A5:A6"/>
    <mergeCell ref="B5:B6"/>
    <mergeCell ref="D5:D6"/>
    <mergeCell ref="C5:C6"/>
    <mergeCell ref="E5:E6"/>
    <mergeCell ref="A3:E3"/>
  </mergeCells>
  <printOptions horizontalCentered="1"/>
  <pageMargins left="0" right="0" top="0.5" bottom="0" header="0.3" footer="0.3"/>
  <pageSetup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sheetPr>
    <tabColor indexed="33"/>
  </sheetPr>
  <dimension ref="A1:G51"/>
  <sheetViews>
    <sheetView zoomScalePageLayoutView="0" workbookViewId="0" topLeftCell="A1">
      <selection activeCell="C55" sqref="C55"/>
    </sheetView>
  </sheetViews>
  <sheetFormatPr defaultColWidth="9.140625" defaultRowHeight="15"/>
  <cols>
    <col min="1" max="1" width="6.28125" style="0" customWidth="1"/>
    <col min="2" max="2" width="49.140625" style="0" customWidth="1"/>
    <col min="3" max="3" width="15.7109375" style="0" customWidth="1"/>
    <col min="4" max="4" width="21.421875" style="0" customWidth="1"/>
    <col min="5" max="5" width="11.8515625" style="0" customWidth="1"/>
  </cols>
  <sheetData>
    <row r="1" spans="4:5" ht="18.75" customHeight="1">
      <c r="D1" s="375" t="s">
        <v>313</v>
      </c>
      <c r="E1" s="375"/>
    </row>
    <row r="2" spans="1:5" ht="49.5" customHeight="1">
      <c r="A2" s="353" t="s">
        <v>481</v>
      </c>
      <c r="B2" s="353"/>
      <c r="C2" s="353"/>
      <c r="D2" s="353"/>
      <c r="E2" s="353"/>
    </row>
    <row r="3" spans="1:6" ht="27.75" customHeight="1">
      <c r="A3" s="350" t="str">
        <f>'Biểu 01'!A4:F4</f>
        <v>(Kèm theo Nghị quyết  số 111/NQ-HĐND ngày  10 tháng  7  năm 2019 của Hội đồng nhân dân tỉnh Điện Biên)</v>
      </c>
      <c r="B3" s="350"/>
      <c r="C3" s="350"/>
      <c r="D3" s="350"/>
      <c r="E3" s="350"/>
      <c r="F3" s="174"/>
    </row>
    <row r="4" spans="4:5" ht="19.5" customHeight="1">
      <c r="D4" s="376" t="s">
        <v>289</v>
      </c>
      <c r="E4" s="376"/>
    </row>
    <row r="5" spans="1:5" ht="15.75" customHeight="1">
      <c r="A5" s="359" t="s">
        <v>358</v>
      </c>
      <c r="B5" s="359" t="s">
        <v>204</v>
      </c>
      <c r="C5" s="373" t="s">
        <v>37</v>
      </c>
      <c r="D5" s="373" t="s">
        <v>331</v>
      </c>
      <c r="E5" s="373" t="s">
        <v>205</v>
      </c>
    </row>
    <row r="6" spans="1:5" ht="17.25" customHeight="1">
      <c r="A6" s="359"/>
      <c r="B6" s="359"/>
      <c r="C6" s="374"/>
      <c r="D6" s="374"/>
      <c r="E6" s="374"/>
    </row>
    <row r="7" spans="1:5" ht="15.75" customHeight="1">
      <c r="A7" s="154" t="s">
        <v>360</v>
      </c>
      <c r="B7" s="154" t="s">
        <v>361</v>
      </c>
      <c r="C7" s="154">
        <v>1</v>
      </c>
      <c r="D7" s="154">
        <v>2</v>
      </c>
      <c r="E7" s="154" t="s">
        <v>126</v>
      </c>
    </row>
    <row r="8" spans="1:5" ht="15.75">
      <c r="A8" s="152" t="s">
        <v>360</v>
      </c>
      <c r="B8" s="153" t="s">
        <v>206</v>
      </c>
      <c r="C8" s="92">
        <f>SUM(C9,C26,C27,C42:C44)</f>
        <v>3608086</v>
      </c>
      <c r="D8" s="93">
        <f>SUM(D9,D26,D27,D42:D44)</f>
        <v>4655765.494822001</v>
      </c>
      <c r="E8" s="94">
        <f>D8/C8</f>
        <v>1.2903698788837077</v>
      </c>
    </row>
    <row r="9" spans="1:5" ht="15.75">
      <c r="A9" s="23" t="s">
        <v>369</v>
      </c>
      <c r="B9" s="24" t="s">
        <v>136</v>
      </c>
      <c r="C9" s="98">
        <v>1497802</v>
      </c>
      <c r="D9" s="36">
        <f>SUM(D10,D24,D25)</f>
        <v>1431069.011022</v>
      </c>
      <c r="E9" s="99">
        <f>D9/C9</f>
        <v>0.9554460542995671</v>
      </c>
    </row>
    <row r="10" spans="1:5" ht="31.5">
      <c r="A10" s="23">
        <v>1</v>
      </c>
      <c r="B10" s="24" t="s">
        <v>207</v>
      </c>
      <c r="C10" s="101"/>
      <c r="D10" s="36">
        <f>SUM(D11:D23)</f>
        <v>1429069.011022</v>
      </c>
      <c r="E10" s="102"/>
    </row>
    <row r="11" spans="1:5" ht="15.75" customHeight="1">
      <c r="A11" s="27" t="s">
        <v>155</v>
      </c>
      <c r="B11" s="28" t="s">
        <v>303</v>
      </c>
      <c r="C11" s="101"/>
      <c r="D11" s="37">
        <f>42488.242528-1083.8111</f>
        <v>41404.431428</v>
      </c>
      <c r="E11" s="102"/>
    </row>
    <row r="12" spans="1:5" ht="15.75" customHeight="1">
      <c r="A12" s="27" t="s">
        <v>157</v>
      </c>
      <c r="B12" s="28" t="s">
        <v>304</v>
      </c>
      <c r="C12" s="101"/>
      <c r="D12" s="37">
        <v>5952.532021</v>
      </c>
      <c r="E12" s="102"/>
    </row>
    <row r="13" spans="1:5" ht="15.75" customHeight="1">
      <c r="A13" s="27" t="s">
        <v>159</v>
      </c>
      <c r="B13" s="28" t="s">
        <v>208</v>
      </c>
      <c r="C13" s="101"/>
      <c r="D13" s="37">
        <v>291443.661427</v>
      </c>
      <c r="E13" s="102"/>
    </row>
    <row r="14" spans="1:5" ht="15.75" customHeight="1">
      <c r="A14" s="27" t="s">
        <v>161</v>
      </c>
      <c r="B14" s="28" t="s">
        <v>209</v>
      </c>
      <c r="C14" s="101"/>
      <c r="D14" s="37">
        <v>8629.1336</v>
      </c>
      <c r="E14" s="102"/>
    </row>
    <row r="15" spans="1:5" ht="15.75" customHeight="1">
      <c r="A15" s="27" t="s">
        <v>163</v>
      </c>
      <c r="B15" s="28" t="s">
        <v>210</v>
      </c>
      <c r="C15" s="101"/>
      <c r="D15" s="37">
        <v>29278.345881</v>
      </c>
      <c r="E15" s="102"/>
    </row>
    <row r="16" spans="1:5" ht="15.75" customHeight="1">
      <c r="A16" s="27" t="s">
        <v>211</v>
      </c>
      <c r="B16" s="28" t="s">
        <v>212</v>
      </c>
      <c r="C16" s="101"/>
      <c r="D16" s="37">
        <v>11964.778614</v>
      </c>
      <c r="E16" s="102"/>
    </row>
    <row r="17" spans="1:5" ht="15.75" customHeight="1">
      <c r="A17" s="27" t="s">
        <v>213</v>
      </c>
      <c r="B17" s="28" t="s">
        <v>214</v>
      </c>
      <c r="C17" s="101"/>
      <c r="D17" s="37">
        <v>1955</v>
      </c>
      <c r="E17" s="102"/>
    </row>
    <row r="18" spans="1:5" ht="15.75" customHeight="1">
      <c r="A18" s="27" t="s">
        <v>215</v>
      </c>
      <c r="B18" s="28" t="s">
        <v>216</v>
      </c>
      <c r="C18" s="101"/>
      <c r="D18" s="37">
        <v>6678.7483</v>
      </c>
      <c r="E18" s="102"/>
    </row>
    <row r="19" spans="1:5" ht="15.75" customHeight="1">
      <c r="A19" s="27" t="s">
        <v>217</v>
      </c>
      <c r="B19" s="28" t="s">
        <v>218</v>
      </c>
      <c r="C19" s="101"/>
      <c r="D19" s="37">
        <v>30571.829068</v>
      </c>
      <c r="E19" s="102"/>
    </row>
    <row r="20" spans="1:5" ht="15.75" customHeight="1">
      <c r="A20" s="27" t="s">
        <v>219</v>
      </c>
      <c r="B20" s="28" t="s">
        <v>305</v>
      </c>
      <c r="C20" s="101"/>
      <c r="D20" s="37">
        <v>851144.488094</v>
      </c>
      <c r="E20" s="102"/>
    </row>
    <row r="21" spans="1:5" ht="31.5">
      <c r="A21" s="27" t="s">
        <v>220</v>
      </c>
      <c r="B21" s="28" t="s">
        <v>221</v>
      </c>
      <c r="C21" s="101"/>
      <c r="D21" s="37">
        <v>135264.060264</v>
      </c>
      <c r="E21" s="102"/>
    </row>
    <row r="22" spans="1:5" ht="15.75">
      <c r="A22" s="27" t="s">
        <v>222</v>
      </c>
      <c r="B22" s="28" t="s">
        <v>223</v>
      </c>
      <c r="C22" s="101"/>
      <c r="D22" s="37"/>
      <c r="E22" s="102"/>
    </row>
    <row r="23" spans="1:5" ht="15.75">
      <c r="A23" s="27" t="s">
        <v>224</v>
      </c>
      <c r="B23" s="28" t="s">
        <v>225</v>
      </c>
      <c r="C23" s="101"/>
      <c r="D23" s="37">
        <f>10975+3807.002325</f>
        <v>14782.002325</v>
      </c>
      <c r="E23" s="102"/>
    </row>
    <row r="24" spans="1:5" ht="31.5">
      <c r="A24" s="23">
        <v>2</v>
      </c>
      <c r="B24" s="24" t="s">
        <v>226</v>
      </c>
      <c r="C24" s="101"/>
      <c r="D24" s="36">
        <v>2000</v>
      </c>
      <c r="E24" s="102"/>
    </row>
    <row r="25" spans="1:5" ht="15.75" customHeight="1">
      <c r="A25" s="23">
        <v>3</v>
      </c>
      <c r="B25" s="24" t="s">
        <v>149</v>
      </c>
      <c r="C25" s="101"/>
      <c r="D25" s="36"/>
      <c r="E25" s="102"/>
    </row>
    <row r="26" spans="1:5" ht="15.75" customHeight="1">
      <c r="A26" s="23" t="s">
        <v>365</v>
      </c>
      <c r="B26" s="24" t="s">
        <v>227</v>
      </c>
      <c r="C26" s="98">
        <v>3817</v>
      </c>
      <c r="D26" s="36">
        <v>1681.227623</v>
      </c>
      <c r="E26" s="99">
        <f aca="true" t="shared" si="0" ref="E26:E39">D26/C26</f>
        <v>0.4404578525019649</v>
      </c>
    </row>
    <row r="27" spans="1:5" ht="15.75" customHeight="1">
      <c r="A27" s="23" t="s">
        <v>366</v>
      </c>
      <c r="B27" s="24" t="s">
        <v>373</v>
      </c>
      <c r="C27" s="98">
        <f>SUM(C28:C41)</f>
        <v>2054054</v>
      </c>
      <c r="D27" s="36">
        <f>SUM(D28:D41)</f>
        <v>1951464.7038560004</v>
      </c>
      <c r="E27" s="99">
        <f t="shared" si="0"/>
        <v>0.9500552097734531</v>
      </c>
    </row>
    <row r="28" spans="1:5" ht="15.75" customHeight="1">
      <c r="A28" s="27" t="s">
        <v>228</v>
      </c>
      <c r="B28" s="28" t="s">
        <v>303</v>
      </c>
      <c r="C28" s="101">
        <v>54805</v>
      </c>
      <c r="D28" s="37">
        <v>67286.096</v>
      </c>
      <c r="E28" s="102">
        <f t="shared" si="0"/>
        <v>1.2277364474044339</v>
      </c>
    </row>
    <row r="29" spans="1:5" ht="15.75" customHeight="1">
      <c r="A29" s="27" t="s">
        <v>229</v>
      </c>
      <c r="B29" s="28" t="s">
        <v>304</v>
      </c>
      <c r="C29" s="101">
        <v>8600</v>
      </c>
      <c r="D29" s="37">
        <v>14929.515962</v>
      </c>
      <c r="E29" s="102">
        <f t="shared" si="0"/>
        <v>1.7359902281395347</v>
      </c>
    </row>
    <row r="30" spans="1:5" ht="15.75" customHeight="1">
      <c r="A30" s="27" t="s">
        <v>230</v>
      </c>
      <c r="B30" s="28" t="s">
        <v>208</v>
      </c>
      <c r="C30" s="101">
        <v>489718</v>
      </c>
      <c r="D30" s="37">
        <v>504350.560317</v>
      </c>
      <c r="E30" s="102">
        <f t="shared" si="0"/>
        <v>1.0298795639878462</v>
      </c>
    </row>
    <row r="31" spans="1:5" ht="15.75" customHeight="1">
      <c r="A31" s="27" t="s">
        <v>231</v>
      </c>
      <c r="B31" s="28" t="s">
        <v>209</v>
      </c>
      <c r="C31" s="101">
        <v>10000</v>
      </c>
      <c r="D31" s="37">
        <v>10620.446316</v>
      </c>
      <c r="E31" s="102">
        <f t="shared" si="0"/>
        <v>1.0620446316</v>
      </c>
    </row>
    <row r="32" spans="1:5" ht="15.75" customHeight="1">
      <c r="A32" s="27" t="s">
        <v>232</v>
      </c>
      <c r="B32" s="28" t="s">
        <v>210</v>
      </c>
      <c r="C32" s="101">
        <v>609315</v>
      </c>
      <c r="D32" s="37">
        <v>653526.357345</v>
      </c>
      <c r="E32" s="102">
        <f t="shared" si="0"/>
        <v>1.072559115309815</v>
      </c>
    </row>
    <row r="33" spans="1:5" ht="15.75" customHeight="1">
      <c r="A33" s="27" t="s">
        <v>233</v>
      </c>
      <c r="B33" s="28" t="s">
        <v>212</v>
      </c>
      <c r="C33" s="101">
        <v>37986</v>
      </c>
      <c r="D33" s="37">
        <v>49225.2604</v>
      </c>
      <c r="E33" s="102">
        <f t="shared" si="0"/>
        <v>1.2958790185857947</v>
      </c>
    </row>
    <row r="34" spans="1:5" ht="15.75" customHeight="1">
      <c r="A34" s="27" t="s">
        <v>234</v>
      </c>
      <c r="B34" s="28" t="s">
        <v>214</v>
      </c>
      <c r="C34" s="101">
        <v>23566</v>
      </c>
      <c r="D34" s="37">
        <v>25849.6</v>
      </c>
      <c r="E34" s="102">
        <f t="shared" si="0"/>
        <v>1.0969023168972247</v>
      </c>
    </row>
    <row r="35" spans="1:5" ht="15.75" customHeight="1">
      <c r="A35" s="27" t="s">
        <v>235</v>
      </c>
      <c r="B35" s="28" t="s">
        <v>216</v>
      </c>
      <c r="C35" s="101">
        <v>6294</v>
      </c>
      <c r="D35" s="37">
        <v>6399</v>
      </c>
      <c r="E35" s="102">
        <f t="shared" si="0"/>
        <v>1.0166825548141087</v>
      </c>
    </row>
    <row r="36" spans="1:5" ht="15.75" customHeight="1">
      <c r="A36" s="29" t="s">
        <v>236</v>
      </c>
      <c r="B36" s="30" t="s">
        <v>218</v>
      </c>
      <c r="C36" s="101">
        <v>9520</v>
      </c>
      <c r="D36" s="40">
        <v>19541.007139</v>
      </c>
      <c r="E36" s="102">
        <f t="shared" si="0"/>
        <v>2.0526268003151262</v>
      </c>
    </row>
    <row r="37" spans="1:5" ht="15.75" customHeight="1">
      <c r="A37" s="27" t="s">
        <v>237</v>
      </c>
      <c r="B37" s="28" t="s">
        <v>305</v>
      </c>
      <c r="C37" s="101">
        <v>352320</v>
      </c>
      <c r="D37" s="37">
        <v>181457.230644</v>
      </c>
      <c r="E37" s="102">
        <f t="shared" si="0"/>
        <v>0.5150352822547684</v>
      </c>
    </row>
    <row r="38" spans="1:5" ht="15.75" customHeight="1">
      <c r="A38" s="27" t="s">
        <v>238</v>
      </c>
      <c r="B38" s="28" t="s">
        <v>221</v>
      </c>
      <c r="C38" s="101">
        <v>360224</v>
      </c>
      <c r="D38" s="37">
        <v>370700.484012</v>
      </c>
      <c r="E38" s="102">
        <f t="shared" si="0"/>
        <v>1.0290832482344319</v>
      </c>
    </row>
    <row r="39" spans="1:5" ht="15.75" customHeight="1">
      <c r="A39" s="27" t="s">
        <v>239</v>
      </c>
      <c r="B39" s="28" t="s">
        <v>223</v>
      </c>
      <c r="C39" s="101">
        <v>22792</v>
      </c>
      <c r="D39" s="37">
        <v>42737.240044</v>
      </c>
      <c r="E39" s="102">
        <f t="shared" si="0"/>
        <v>1.875098282028782</v>
      </c>
    </row>
    <row r="40" spans="1:5" ht="15.75" customHeight="1">
      <c r="A40" s="27" t="s">
        <v>240</v>
      </c>
      <c r="B40" s="28" t="s">
        <v>241</v>
      </c>
      <c r="C40" s="101">
        <v>54795</v>
      </c>
      <c r="D40" s="37">
        <v>4841.905677</v>
      </c>
      <c r="E40" s="102">
        <f>D40/C40</f>
        <v>0.08836400542020256</v>
      </c>
    </row>
    <row r="41" spans="1:5" ht="15.75" customHeight="1">
      <c r="A41" s="27" t="s">
        <v>242</v>
      </c>
      <c r="B41" s="28" t="s">
        <v>243</v>
      </c>
      <c r="C41" s="101">
        <v>14119</v>
      </c>
      <c r="D41" s="37"/>
      <c r="E41" s="102"/>
    </row>
    <row r="42" spans="1:5" ht="15.75" customHeight="1">
      <c r="A42" s="23" t="s">
        <v>367</v>
      </c>
      <c r="B42" s="24" t="s">
        <v>120</v>
      </c>
      <c r="C42" s="98">
        <v>1000</v>
      </c>
      <c r="D42" s="36">
        <v>1000</v>
      </c>
      <c r="E42" s="99">
        <f>D42/C42</f>
        <v>1</v>
      </c>
    </row>
    <row r="43" spans="1:5" ht="15.75" customHeight="1">
      <c r="A43" s="23" t="s">
        <v>381</v>
      </c>
      <c r="B43" s="24" t="s">
        <v>121</v>
      </c>
      <c r="C43" s="98">
        <v>51413</v>
      </c>
      <c r="D43" s="36"/>
      <c r="E43" s="99"/>
    </row>
    <row r="44" spans="1:5" ht="15.75" customHeight="1">
      <c r="A44" s="31" t="s">
        <v>150</v>
      </c>
      <c r="B44" s="32" t="s">
        <v>244</v>
      </c>
      <c r="C44" s="155"/>
      <c r="D44" s="39">
        <v>1270550.552321</v>
      </c>
      <c r="E44" s="136"/>
    </row>
    <row r="45" spans="1:5" ht="15.75" customHeight="1">
      <c r="A45" s="31" t="s">
        <v>361</v>
      </c>
      <c r="B45" s="32" t="s">
        <v>245</v>
      </c>
      <c r="C45" s="155">
        <f>SUM(C46:C47)</f>
        <v>4764110</v>
      </c>
      <c r="D45" s="39">
        <f>SUM(D46:D47)</f>
        <v>4846685.484888</v>
      </c>
      <c r="E45" s="137"/>
    </row>
    <row r="46" spans="1:5" ht="15.75" customHeight="1">
      <c r="A46" s="29">
        <v>1</v>
      </c>
      <c r="B46" s="30" t="s">
        <v>246</v>
      </c>
      <c r="C46" s="156">
        <v>3598626</v>
      </c>
      <c r="D46" s="40">
        <v>3611094.151471</v>
      </c>
      <c r="E46" s="137"/>
    </row>
    <row r="47" spans="1:5" ht="15.75" customHeight="1">
      <c r="A47" s="29">
        <v>2</v>
      </c>
      <c r="B47" s="30" t="s">
        <v>337</v>
      </c>
      <c r="C47" s="156">
        <v>1165484</v>
      </c>
      <c r="D47" s="40">
        <f>SUM(D48:D49)</f>
        <v>1235591.3334169998</v>
      </c>
      <c r="E47" s="137"/>
    </row>
    <row r="48" spans="1:5" s="2" customFormat="1" ht="23.25" customHeight="1">
      <c r="A48" s="372"/>
      <c r="B48" s="158" t="s">
        <v>247</v>
      </c>
      <c r="C48" s="159"/>
      <c r="D48" s="116">
        <v>1135898.537382</v>
      </c>
      <c r="E48" s="137"/>
    </row>
    <row r="49" spans="1:5" ht="27.75" customHeight="1">
      <c r="A49" s="372"/>
      <c r="B49" s="158" t="s">
        <v>248</v>
      </c>
      <c r="C49" s="159"/>
      <c r="D49" s="116">
        <v>99692.796035</v>
      </c>
      <c r="E49" s="137"/>
    </row>
    <row r="50" spans="1:5" ht="15.75">
      <c r="A50" s="31" t="s">
        <v>368</v>
      </c>
      <c r="B50" s="32" t="s">
        <v>249</v>
      </c>
      <c r="C50" s="156"/>
      <c r="D50" s="39">
        <f>63264.355442+56368.969305</f>
        <v>119633.324747</v>
      </c>
      <c r="E50" s="137"/>
    </row>
    <row r="51" spans="1:7" ht="15.75">
      <c r="A51" s="34"/>
      <c r="B51" s="35" t="s">
        <v>250</v>
      </c>
      <c r="C51" s="60"/>
      <c r="D51" s="41">
        <f>SUM(D8,D45,D50)</f>
        <v>9622084.304457001</v>
      </c>
      <c r="E51" s="157"/>
      <c r="G51">
        <v>16062544.640723001</v>
      </c>
    </row>
  </sheetData>
  <sheetProtection/>
  <mergeCells count="10">
    <mergeCell ref="A48:A49"/>
    <mergeCell ref="D5:D6"/>
    <mergeCell ref="C5:C6"/>
    <mergeCell ref="D1:E1"/>
    <mergeCell ref="D4:E4"/>
    <mergeCell ref="A5:A6"/>
    <mergeCell ref="B5:B6"/>
    <mergeCell ref="A2:E2"/>
    <mergeCell ref="E5:E6"/>
    <mergeCell ref="A3:E3"/>
  </mergeCells>
  <printOptions horizontalCentered="1"/>
  <pageMargins left="0.25" right="0" top="0.5" bottom="0" header="0.3" footer="0.3"/>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sheetPr>
    <tabColor indexed="33"/>
  </sheetPr>
  <dimension ref="A1:V79"/>
  <sheetViews>
    <sheetView zoomScalePageLayoutView="0" workbookViewId="0" topLeftCell="C1">
      <selection activeCell="H13" sqref="H13"/>
    </sheetView>
  </sheetViews>
  <sheetFormatPr defaultColWidth="10.421875" defaultRowHeight="15"/>
  <cols>
    <col min="1" max="1" width="7.28125" style="106" customWidth="1"/>
    <col min="2" max="2" width="49.421875" style="106" customWidth="1"/>
    <col min="3" max="3" width="12.7109375" style="106" customWidth="1"/>
    <col min="4" max="5" width="13.7109375" style="106" customWidth="1"/>
    <col min="6" max="6" width="17.00390625" style="106" customWidth="1"/>
    <col min="7" max="8" width="15.28125" style="106" customWidth="1"/>
    <col min="9" max="9" width="11.28125" style="106" customWidth="1"/>
    <col min="10" max="10" width="12.28125" style="106" customWidth="1"/>
    <col min="11" max="11" width="10.421875" style="106" customWidth="1"/>
    <col min="12" max="12" width="14.421875" style="106" bestFit="1" customWidth="1"/>
    <col min="13" max="16384" width="10.421875" style="106" customWidth="1"/>
  </cols>
  <sheetData>
    <row r="1" spans="8:11" ht="23.25" customHeight="1">
      <c r="H1" s="379" t="s">
        <v>314</v>
      </c>
      <c r="I1" s="379"/>
      <c r="J1" s="379"/>
      <c r="K1" s="379"/>
    </row>
    <row r="2" spans="1:11" ht="33" customHeight="1">
      <c r="A2" s="380" t="s">
        <v>482</v>
      </c>
      <c r="B2" s="380"/>
      <c r="C2" s="380"/>
      <c r="D2" s="380"/>
      <c r="E2" s="380"/>
      <c r="F2" s="380"/>
      <c r="G2" s="380"/>
      <c r="H2" s="380"/>
      <c r="I2" s="380"/>
      <c r="J2" s="380"/>
      <c r="K2" s="380"/>
    </row>
    <row r="3" spans="1:22" ht="16.5" customHeight="1">
      <c r="A3" s="382" t="str">
        <f>'Biểu 01'!A4:F4</f>
        <v>(Kèm theo Nghị quyết  số 111/NQ-HĐND ngày  10 tháng  7  năm 2019 của Hội đồng nhân dân tỉnh Điện Biên)</v>
      </c>
      <c r="B3" s="382"/>
      <c r="C3" s="382"/>
      <c r="D3" s="382"/>
      <c r="E3" s="382"/>
      <c r="F3" s="382"/>
      <c r="G3" s="382"/>
      <c r="H3" s="382"/>
      <c r="I3" s="382"/>
      <c r="J3" s="382"/>
      <c r="K3" s="382"/>
      <c r="L3" s="267"/>
      <c r="M3" s="267"/>
      <c r="N3" s="267"/>
      <c r="O3" s="267"/>
      <c r="P3" s="267"/>
      <c r="Q3" s="267"/>
      <c r="R3" s="267"/>
      <c r="S3" s="267"/>
      <c r="T3" s="267"/>
      <c r="U3" s="267"/>
      <c r="V3" s="267"/>
    </row>
    <row r="4" spans="3:11" ht="15" customHeight="1">
      <c r="C4" s="108"/>
      <c r="D4" s="108"/>
      <c r="E4" s="108"/>
      <c r="J4" s="381" t="s">
        <v>363</v>
      </c>
      <c r="K4" s="381"/>
    </row>
    <row r="5" spans="1:11" ht="15" customHeight="1">
      <c r="A5" s="368" t="s">
        <v>358</v>
      </c>
      <c r="B5" s="368" t="s">
        <v>359</v>
      </c>
      <c r="C5" s="368" t="s">
        <v>307</v>
      </c>
      <c r="D5" s="383" t="s">
        <v>293</v>
      </c>
      <c r="E5" s="383"/>
      <c r="F5" s="368" t="s">
        <v>331</v>
      </c>
      <c r="G5" s="377" t="s">
        <v>293</v>
      </c>
      <c r="H5" s="377"/>
      <c r="I5" s="378" t="s">
        <v>138</v>
      </c>
      <c r="J5" s="378"/>
      <c r="K5" s="378"/>
    </row>
    <row r="6" spans="1:11" ht="52.5" customHeight="1">
      <c r="A6" s="369"/>
      <c r="B6" s="369"/>
      <c r="C6" s="369"/>
      <c r="D6" s="261" t="s">
        <v>3</v>
      </c>
      <c r="E6" s="261" t="s">
        <v>4</v>
      </c>
      <c r="F6" s="369"/>
      <c r="G6" s="261" t="s">
        <v>3</v>
      </c>
      <c r="H6" s="261" t="s">
        <v>4</v>
      </c>
      <c r="I6" s="261" t="s">
        <v>8</v>
      </c>
      <c r="J6" s="261" t="s">
        <v>9</v>
      </c>
      <c r="K6" s="261" t="s">
        <v>10</v>
      </c>
    </row>
    <row r="7" spans="1:12" ht="15.75">
      <c r="A7" s="249" t="s">
        <v>360</v>
      </c>
      <c r="B7" s="249" t="s">
        <v>361</v>
      </c>
      <c r="C7" s="249">
        <v>1</v>
      </c>
      <c r="D7" s="249">
        <v>2</v>
      </c>
      <c r="E7" s="249">
        <v>3</v>
      </c>
      <c r="F7" s="249">
        <v>4</v>
      </c>
      <c r="G7" s="249">
        <v>5</v>
      </c>
      <c r="H7" s="249">
        <v>6</v>
      </c>
      <c r="I7" s="249" t="s">
        <v>5</v>
      </c>
      <c r="J7" s="249" t="s">
        <v>6</v>
      </c>
      <c r="K7" s="249" t="s">
        <v>7</v>
      </c>
      <c r="L7" s="253"/>
    </row>
    <row r="8" spans="1:11" ht="15.75">
      <c r="A8" s="111"/>
      <c r="B8" s="262" t="s">
        <v>338</v>
      </c>
      <c r="C8" s="263">
        <f>SUM(C9,C25)</f>
        <v>7652022</v>
      </c>
      <c r="D8" s="263">
        <f>SUM(D9,D25)</f>
        <v>3608086</v>
      </c>
      <c r="E8" s="263">
        <f>SUM(E9,E25)</f>
        <v>4043936</v>
      </c>
      <c r="F8" s="264">
        <f>SUM(F9,F25,F78)</f>
        <v>10329154.113309</v>
      </c>
      <c r="G8" s="264">
        <f>SUM(G9,G25,G78)</f>
        <v>4655765.494821999</v>
      </c>
      <c r="H8" s="264">
        <f>SUM(H9,H25,H78)</f>
        <v>5673388.618487</v>
      </c>
      <c r="I8" s="265">
        <f aca="true" t="shared" si="0" ref="I8:K12">F8/C8</f>
        <v>1.3498594375851245</v>
      </c>
      <c r="J8" s="265">
        <f t="shared" si="0"/>
        <v>1.290369878883707</v>
      </c>
      <c r="K8" s="265">
        <f t="shared" si="0"/>
        <v>1.402937291412871</v>
      </c>
    </row>
    <row r="9" spans="1:11" ht="15.75">
      <c r="A9" s="31" t="s">
        <v>360</v>
      </c>
      <c r="B9" s="32" t="s">
        <v>339</v>
      </c>
      <c r="C9" s="112">
        <f aca="true" t="shared" si="1" ref="C9:H9">SUM(C10,C17,C21,C22:C24)</f>
        <v>6486538</v>
      </c>
      <c r="D9" s="112">
        <f t="shared" si="1"/>
        <v>2442602</v>
      </c>
      <c r="E9" s="112">
        <f t="shared" si="1"/>
        <v>4043936</v>
      </c>
      <c r="F9" s="113">
        <f t="shared" si="1"/>
        <v>7019952.706677999</v>
      </c>
      <c r="G9" s="113">
        <f t="shared" si="1"/>
        <v>2439081.143063</v>
      </c>
      <c r="H9" s="113">
        <f t="shared" si="1"/>
        <v>4580871.563615</v>
      </c>
      <c r="I9" s="114">
        <f t="shared" si="0"/>
        <v>1.0822341142036012</v>
      </c>
      <c r="J9" s="114">
        <f t="shared" si="0"/>
        <v>0.9985585629844731</v>
      </c>
      <c r="K9" s="114">
        <f t="shared" si="0"/>
        <v>1.1327754849767653</v>
      </c>
    </row>
    <row r="10" spans="1:11" ht="15.75">
      <c r="A10" s="31" t="s">
        <v>369</v>
      </c>
      <c r="B10" s="32" t="s">
        <v>136</v>
      </c>
      <c r="C10" s="112">
        <f>SUM(C11:C16)</f>
        <v>607852</v>
      </c>
      <c r="D10" s="112">
        <v>548351</v>
      </c>
      <c r="E10" s="112">
        <v>59501</v>
      </c>
      <c r="F10" s="113">
        <f>SUM(F11:F16)</f>
        <v>667664.640428</v>
      </c>
      <c r="G10" s="113">
        <f>SUM(G11:G16)</f>
        <v>557986.6780600001</v>
      </c>
      <c r="H10" s="113">
        <f>SUM(H11:H16)</f>
        <v>109677.96236800001</v>
      </c>
      <c r="I10" s="114">
        <f t="shared" si="0"/>
        <v>1.0984000059685581</v>
      </c>
      <c r="J10" s="114">
        <f t="shared" si="0"/>
        <v>1.0175720990022814</v>
      </c>
      <c r="K10" s="114">
        <f t="shared" si="0"/>
        <v>1.8432961188551453</v>
      </c>
    </row>
    <row r="11" spans="1:11" ht="15.75">
      <c r="A11" s="29">
        <v>1</v>
      </c>
      <c r="B11" s="30" t="s">
        <v>197</v>
      </c>
      <c r="C11" s="115">
        <v>530852</v>
      </c>
      <c r="D11" s="115">
        <v>509401</v>
      </c>
      <c r="E11" s="115">
        <v>21451</v>
      </c>
      <c r="F11" s="116">
        <v>509360.54278</v>
      </c>
      <c r="G11" s="116">
        <v>479954.819984</v>
      </c>
      <c r="H11" s="116">
        <v>29405.722796</v>
      </c>
      <c r="I11" s="117">
        <f t="shared" si="0"/>
        <v>0.9595151620037223</v>
      </c>
      <c r="J11" s="117">
        <f t="shared" si="0"/>
        <v>0.9421944989978426</v>
      </c>
      <c r="K11" s="117">
        <f t="shared" si="0"/>
        <v>1.370832259381847</v>
      </c>
    </row>
    <row r="12" spans="1:11" ht="15.75">
      <c r="A12" s="29">
        <v>2</v>
      </c>
      <c r="B12" s="30" t="s">
        <v>198</v>
      </c>
      <c r="C12" s="115">
        <v>60000</v>
      </c>
      <c r="D12" s="115">
        <v>21950</v>
      </c>
      <c r="E12" s="115">
        <v>38050</v>
      </c>
      <c r="F12" s="116">
        <v>87688.521885</v>
      </c>
      <c r="G12" s="116">
        <v>25757.002325</v>
      </c>
      <c r="H12" s="116">
        <v>61931.51956</v>
      </c>
      <c r="I12" s="117">
        <f t="shared" si="0"/>
        <v>1.4614753647499998</v>
      </c>
      <c r="J12" s="117">
        <f t="shared" si="0"/>
        <v>1.1734397414578588</v>
      </c>
      <c r="K12" s="117">
        <f t="shared" si="0"/>
        <v>1.6276352052562417</v>
      </c>
    </row>
    <row r="13" spans="1:11" ht="15.75">
      <c r="A13" s="29">
        <v>3</v>
      </c>
      <c r="B13" s="30" t="s">
        <v>201</v>
      </c>
      <c r="C13" s="115">
        <v>17000</v>
      </c>
      <c r="D13" s="115">
        <v>17000</v>
      </c>
      <c r="E13" s="115"/>
      <c r="F13" s="116">
        <v>13489.711</v>
      </c>
      <c r="G13" s="116">
        <v>12589.711</v>
      </c>
      <c r="H13" s="116">
        <v>900</v>
      </c>
      <c r="I13" s="117">
        <f>F13/C13</f>
        <v>0.7935124117647059</v>
      </c>
      <c r="J13" s="117">
        <f>G13/D13</f>
        <v>0.7405712352941176</v>
      </c>
      <c r="K13" s="117"/>
    </row>
    <row r="14" spans="1:11" ht="15.75">
      <c r="A14" s="29">
        <v>4</v>
      </c>
      <c r="B14" s="30" t="s">
        <v>202</v>
      </c>
      <c r="C14" s="115"/>
      <c r="D14" s="115"/>
      <c r="E14" s="115"/>
      <c r="F14" s="116">
        <v>17206.196112</v>
      </c>
      <c r="G14" s="116">
        <v>115.4761</v>
      </c>
      <c r="H14" s="116">
        <v>17090.720012</v>
      </c>
      <c r="I14" s="117"/>
      <c r="J14" s="117"/>
      <c r="K14" s="117"/>
    </row>
    <row r="15" spans="1:11" ht="15.75">
      <c r="A15" s="29">
        <v>5</v>
      </c>
      <c r="B15" s="30" t="s">
        <v>106</v>
      </c>
      <c r="C15" s="115"/>
      <c r="D15" s="115"/>
      <c r="E15" s="115"/>
      <c r="F15" s="116">
        <v>37569.668651</v>
      </c>
      <c r="G15" s="116">
        <v>37569.668651</v>
      </c>
      <c r="H15" s="116"/>
      <c r="I15" s="117"/>
      <c r="J15" s="117"/>
      <c r="K15" s="117"/>
    </row>
    <row r="16" spans="1:11" ht="15.75">
      <c r="A16" s="29">
        <v>6</v>
      </c>
      <c r="B16" s="30" t="s">
        <v>200</v>
      </c>
      <c r="C16" s="115"/>
      <c r="D16" s="115"/>
      <c r="E16" s="115"/>
      <c r="F16" s="116">
        <v>2350</v>
      </c>
      <c r="G16" s="116">
        <v>2000</v>
      </c>
      <c r="H16" s="116">
        <v>350</v>
      </c>
      <c r="I16" s="117"/>
      <c r="J16" s="117"/>
      <c r="K16" s="117"/>
    </row>
    <row r="17" spans="1:11" ht="15.75">
      <c r="A17" s="31" t="s">
        <v>365</v>
      </c>
      <c r="B17" s="32" t="s">
        <v>373</v>
      </c>
      <c r="C17" s="112">
        <v>5727460</v>
      </c>
      <c r="D17" s="112">
        <f>1838021-14119</f>
        <v>1823902</v>
      </c>
      <c r="E17" s="112">
        <v>3903558</v>
      </c>
      <c r="F17" s="113">
        <f>SUM(G17:H17)</f>
        <v>6349606.838626999</v>
      </c>
      <c r="G17" s="113">
        <v>1878413.23738</v>
      </c>
      <c r="H17" s="113">
        <v>4471193.601247</v>
      </c>
      <c r="I17" s="114">
        <f>F17/C17</f>
        <v>1.1086252612199823</v>
      </c>
      <c r="J17" s="114"/>
      <c r="K17" s="114">
        <f>H17/E17</f>
        <v>1.1454149269069396</v>
      </c>
    </row>
    <row r="18" spans="1:11" ht="15.75">
      <c r="A18" s="29"/>
      <c r="B18" s="33" t="s">
        <v>384</v>
      </c>
      <c r="C18" s="115"/>
      <c r="D18" s="115"/>
      <c r="E18" s="115"/>
      <c r="F18" s="116"/>
      <c r="G18" s="116"/>
      <c r="H18" s="116"/>
      <c r="I18" s="114"/>
      <c r="J18" s="114"/>
      <c r="K18" s="114"/>
    </row>
    <row r="19" spans="1:11" ht="15.75">
      <c r="A19" s="29">
        <v>1</v>
      </c>
      <c r="B19" s="33" t="s">
        <v>147</v>
      </c>
      <c r="C19" s="118">
        <v>2813702</v>
      </c>
      <c r="D19" s="118">
        <v>489497</v>
      </c>
      <c r="E19" s="118">
        <v>2324205</v>
      </c>
      <c r="F19" s="116">
        <v>3150843.953715</v>
      </c>
      <c r="G19" s="116">
        <v>496535.289924</v>
      </c>
      <c r="H19" s="116">
        <v>2654308.663791</v>
      </c>
      <c r="I19" s="117">
        <f aca="true" t="shared" si="2" ref="I19:K27">F19/C19</f>
        <v>1.1198214856139703</v>
      </c>
      <c r="J19" s="117">
        <f t="shared" si="2"/>
        <v>1.0143786170783478</v>
      </c>
      <c r="K19" s="117">
        <f t="shared" si="2"/>
        <v>1.1420286350778008</v>
      </c>
    </row>
    <row r="20" spans="1:11" ht="15.75">
      <c r="A20" s="29">
        <v>2</v>
      </c>
      <c r="B20" s="33" t="s">
        <v>148</v>
      </c>
      <c r="C20" s="118">
        <v>12550</v>
      </c>
      <c r="D20" s="118">
        <v>10000</v>
      </c>
      <c r="E20" s="118">
        <v>2550</v>
      </c>
      <c r="F20" s="116">
        <v>14413.096657</v>
      </c>
      <c r="G20" s="116">
        <v>10620.446316</v>
      </c>
      <c r="H20" s="116">
        <v>3792.650341</v>
      </c>
      <c r="I20" s="117">
        <f t="shared" si="2"/>
        <v>1.1484539168924304</v>
      </c>
      <c r="J20" s="117">
        <f t="shared" si="2"/>
        <v>1.0620446316</v>
      </c>
      <c r="K20" s="117">
        <f t="shared" si="2"/>
        <v>1.4873138592156863</v>
      </c>
    </row>
    <row r="21" spans="1:11" ht="32.25" customHeight="1">
      <c r="A21" s="31" t="s">
        <v>366</v>
      </c>
      <c r="B21" s="32" t="s">
        <v>374</v>
      </c>
      <c r="C21" s="112">
        <v>3817</v>
      </c>
      <c r="D21" s="112">
        <v>3817</v>
      </c>
      <c r="E21" s="112"/>
      <c r="F21" s="116">
        <v>1681.227623</v>
      </c>
      <c r="G21" s="116">
        <v>1681.227623</v>
      </c>
      <c r="H21" s="116"/>
      <c r="I21" s="114">
        <f t="shared" si="2"/>
        <v>0.4404578525019649</v>
      </c>
      <c r="J21" s="114">
        <f t="shared" si="2"/>
        <v>0.4404578525019649</v>
      </c>
      <c r="K21" s="114"/>
    </row>
    <row r="22" spans="1:11" ht="15.75">
      <c r="A22" s="31" t="s">
        <v>367</v>
      </c>
      <c r="B22" s="32" t="s">
        <v>120</v>
      </c>
      <c r="C22" s="112">
        <v>1000</v>
      </c>
      <c r="D22" s="112">
        <v>1000</v>
      </c>
      <c r="E22" s="112"/>
      <c r="F22" s="116">
        <v>1000</v>
      </c>
      <c r="G22" s="116">
        <v>1000</v>
      </c>
      <c r="H22" s="116"/>
      <c r="I22" s="114">
        <f t="shared" si="2"/>
        <v>1</v>
      </c>
      <c r="J22" s="114">
        <f t="shared" si="2"/>
        <v>1</v>
      </c>
      <c r="K22" s="114"/>
    </row>
    <row r="23" spans="1:11" ht="15.75">
      <c r="A23" s="31" t="s">
        <v>381</v>
      </c>
      <c r="B23" s="32" t="s">
        <v>121</v>
      </c>
      <c r="C23" s="112">
        <v>132290</v>
      </c>
      <c r="D23" s="112">
        <v>51413</v>
      </c>
      <c r="E23" s="112">
        <v>80877</v>
      </c>
      <c r="F23" s="116"/>
      <c r="G23" s="116"/>
      <c r="H23" s="116"/>
      <c r="I23" s="114">
        <f t="shared" si="2"/>
        <v>0</v>
      </c>
      <c r="J23" s="114">
        <f t="shared" si="2"/>
        <v>0</v>
      </c>
      <c r="K23" s="114">
        <f>H23/E23</f>
        <v>0</v>
      </c>
    </row>
    <row r="24" spans="1:11" ht="15.75">
      <c r="A24" s="31" t="s">
        <v>150</v>
      </c>
      <c r="B24" s="32" t="s">
        <v>375</v>
      </c>
      <c r="C24" s="112">
        <v>14119</v>
      </c>
      <c r="D24" s="112">
        <v>14119</v>
      </c>
      <c r="E24" s="112"/>
      <c r="F24" s="116"/>
      <c r="G24" s="116"/>
      <c r="H24" s="116"/>
      <c r="I24" s="114">
        <f t="shared" si="2"/>
        <v>0</v>
      </c>
      <c r="J24" s="114">
        <f t="shared" si="2"/>
        <v>0</v>
      </c>
      <c r="K24" s="114"/>
    </row>
    <row r="25" spans="1:11" ht="15.75">
      <c r="A25" s="31" t="s">
        <v>361</v>
      </c>
      <c r="B25" s="32" t="s">
        <v>151</v>
      </c>
      <c r="C25" s="112">
        <f aca="true" t="shared" si="3" ref="C25:H25">SUM(C26,C45)</f>
        <v>1165484</v>
      </c>
      <c r="D25" s="112">
        <f t="shared" si="3"/>
        <v>1165484</v>
      </c>
      <c r="E25" s="112">
        <f t="shared" si="3"/>
        <v>0</v>
      </c>
      <c r="F25" s="113">
        <f t="shared" si="3"/>
        <v>1537469.486893</v>
      </c>
      <c r="G25" s="113">
        <f t="shared" si="3"/>
        <v>946116.5204809998</v>
      </c>
      <c r="H25" s="113">
        <f t="shared" si="3"/>
        <v>591352.966412</v>
      </c>
      <c r="I25" s="114">
        <f t="shared" si="2"/>
        <v>1.3191682484641574</v>
      </c>
      <c r="J25" s="114">
        <f t="shared" si="2"/>
        <v>0.8117799304675137</v>
      </c>
      <c r="K25" s="114"/>
    </row>
    <row r="26" spans="1:11" ht="15.75">
      <c r="A26" s="31" t="s">
        <v>369</v>
      </c>
      <c r="B26" s="32" t="s">
        <v>123</v>
      </c>
      <c r="C26" s="112">
        <f aca="true" t="shared" si="4" ref="C26:H26">SUM(C27,C37,C38,C43:C43,C44)</f>
        <v>544519</v>
      </c>
      <c r="D26" s="112">
        <f t="shared" si="4"/>
        <v>544519</v>
      </c>
      <c r="E26" s="112">
        <f t="shared" si="4"/>
        <v>0</v>
      </c>
      <c r="F26" s="113">
        <f t="shared" si="4"/>
        <v>544571.690136</v>
      </c>
      <c r="G26" s="113">
        <f t="shared" si="4"/>
        <v>70212.500713</v>
      </c>
      <c r="H26" s="113">
        <f t="shared" si="4"/>
        <v>474359.189423</v>
      </c>
      <c r="I26" s="114">
        <f t="shared" si="2"/>
        <v>1.0000967645499974</v>
      </c>
      <c r="J26" s="114">
        <f t="shared" si="2"/>
        <v>0.1289440785592422</v>
      </c>
      <c r="K26" s="114"/>
    </row>
    <row r="27" spans="1:11" ht="15.75">
      <c r="A27" s="31">
        <v>1</v>
      </c>
      <c r="B27" s="119" t="s">
        <v>154</v>
      </c>
      <c r="C27" s="112">
        <v>344219</v>
      </c>
      <c r="D27" s="112">
        <v>344219</v>
      </c>
      <c r="E27" s="112"/>
      <c r="F27" s="113">
        <f>SUM(F28,F31,F34,F35,F36)</f>
        <v>357071.17537799996</v>
      </c>
      <c r="G27" s="113">
        <f>SUM(G28,G31,G34,G35,G36)</f>
        <v>1293.2586</v>
      </c>
      <c r="H27" s="113">
        <f>SUM(H28,H31,H34,H35,H36)</f>
        <v>355777.91677799996</v>
      </c>
      <c r="I27" s="114">
        <f t="shared" si="2"/>
        <v>1.0373372050293561</v>
      </c>
      <c r="J27" s="114">
        <f t="shared" si="2"/>
        <v>0.003757080811924966</v>
      </c>
      <c r="K27" s="114"/>
    </row>
    <row r="28" spans="1:11" ht="15.75">
      <c r="A28" s="8" t="s">
        <v>155</v>
      </c>
      <c r="B28" s="119" t="s">
        <v>156</v>
      </c>
      <c r="C28" s="112">
        <f>SUM(C29:C30)</f>
        <v>0</v>
      </c>
      <c r="D28" s="112"/>
      <c r="E28" s="112"/>
      <c r="F28" s="113">
        <f>SUM(F29:F30)</f>
        <v>203501.230249</v>
      </c>
      <c r="G28" s="113">
        <f>SUM(G29:G30)</f>
        <v>150</v>
      </c>
      <c r="H28" s="113">
        <f>SUM(H29:H30)</f>
        <v>203351.230249</v>
      </c>
      <c r="I28" s="114"/>
      <c r="J28" s="114"/>
      <c r="K28" s="114"/>
    </row>
    <row r="29" spans="1:11" ht="15.75">
      <c r="A29" s="120"/>
      <c r="B29" s="254" t="s">
        <v>166</v>
      </c>
      <c r="C29" s="115"/>
      <c r="D29" s="115"/>
      <c r="E29" s="115"/>
      <c r="F29" s="116">
        <f>119238.777903+34184.194202</f>
        <v>153422.972105</v>
      </c>
      <c r="G29" s="116"/>
      <c r="H29" s="116">
        <f>119238.777903+34184.194202</f>
        <v>153422.972105</v>
      </c>
      <c r="I29" s="114"/>
      <c r="J29" s="114"/>
      <c r="K29" s="114"/>
    </row>
    <row r="30" spans="1:11" ht="15.75">
      <c r="A30" s="120"/>
      <c r="B30" s="254" t="s">
        <v>167</v>
      </c>
      <c r="C30" s="115"/>
      <c r="D30" s="115"/>
      <c r="E30" s="115"/>
      <c r="F30" s="116">
        <f>12623.23087+37006.530774+448.4965</f>
        <v>50078.258144</v>
      </c>
      <c r="G30" s="116">
        <v>150</v>
      </c>
      <c r="H30" s="116">
        <f>12623.23087+37006.530774+448.4965-150</f>
        <v>49928.258144</v>
      </c>
      <c r="I30" s="114"/>
      <c r="J30" s="114"/>
      <c r="K30" s="114"/>
    </row>
    <row r="31" spans="1:11" ht="15.75">
      <c r="A31" s="8" t="s">
        <v>157</v>
      </c>
      <c r="B31" s="255" t="s">
        <v>158</v>
      </c>
      <c r="C31" s="112">
        <f>SUM(C32:C33)</f>
        <v>0</v>
      </c>
      <c r="D31" s="112"/>
      <c r="E31" s="112"/>
      <c r="F31" s="113">
        <f>SUM(F32:F33)</f>
        <v>151438.319936</v>
      </c>
      <c r="G31" s="113">
        <f>SUM(G32:G33)</f>
        <v>695.6586</v>
      </c>
      <c r="H31" s="113">
        <f>SUM(H32:H33)</f>
        <v>150742.66133600002</v>
      </c>
      <c r="I31" s="114"/>
      <c r="J31" s="114"/>
      <c r="K31" s="114"/>
    </row>
    <row r="32" spans="1:11" ht="15.75">
      <c r="A32" s="120"/>
      <c r="B32" s="254" t="s">
        <v>166</v>
      </c>
      <c r="C32" s="115"/>
      <c r="D32" s="115"/>
      <c r="E32" s="115"/>
      <c r="F32" s="116">
        <f>92978.726771+21781.029781</f>
        <v>114759.756552</v>
      </c>
      <c r="G32" s="116"/>
      <c r="H32" s="116">
        <f>92978.726771+21781.029781</f>
        <v>114759.756552</v>
      </c>
      <c r="I32" s="114"/>
      <c r="J32" s="114"/>
      <c r="K32" s="114"/>
    </row>
    <row r="33" spans="1:11" ht="15.75">
      <c r="A33" s="120"/>
      <c r="B33" s="254" t="s">
        <v>167</v>
      </c>
      <c r="C33" s="115"/>
      <c r="D33" s="115"/>
      <c r="E33" s="115"/>
      <c r="F33" s="116">
        <f>7952.207743+26165.684792+2560.670849</f>
        <v>36678.563384</v>
      </c>
      <c r="G33" s="116">
        <v>695.6586</v>
      </c>
      <c r="H33" s="116">
        <f>7952.207743+26165.684792+2560.670849-695.6586</f>
        <v>35982.904784</v>
      </c>
      <c r="I33" s="114"/>
      <c r="J33" s="114"/>
      <c r="K33" s="114"/>
    </row>
    <row r="34" spans="1:11" ht="60.75" customHeight="1">
      <c r="A34" s="8" t="s">
        <v>159</v>
      </c>
      <c r="B34" s="255" t="s">
        <v>160</v>
      </c>
      <c r="C34" s="115"/>
      <c r="D34" s="115"/>
      <c r="E34" s="115"/>
      <c r="F34" s="116">
        <v>1036.384193</v>
      </c>
      <c r="G34" s="116"/>
      <c r="H34" s="116">
        <v>1036.384193</v>
      </c>
      <c r="I34" s="114"/>
      <c r="J34" s="114"/>
      <c r="K34" s="114"/>
    </row>
    <row r="35" spans="1:11" ht="30.75" customHeight="1">
      <c r="A35" s="8" t="s">
        <v>161</v>
      </c>
      <c r="B35" s="255" t="s">
        <v>162</v>
      </c>
      <c r="C35" s="115"/>
      <c r="D35" s="115"/>
      <c r="E35" s="115"/>
      <c r="F35" s="116">
        <v>584.491</v>
      </c>
      <c r="G35" s="116">
        <v>235.6</v>
      </c>
      <c r="H35" s="116">
        <v>348.891</v>
      </c>
      <c r="I35" s="114"/>
      <c r="J35" s="114"/>
      <c r="K35" s="114"/>
    </row>
    <row r="36" spans="1:11" ht="43.5" customHeight="1">
      <c r="A36" s="8" t="s">
        <v>163</v>
      </c>
      <c r="B36" s="255" t="s">
        <v>164</v>
      </c>
      <c r="C36" s="115"/>
      <c r="D36" s="115"/>
      <c r="E36" s="115"/>
      <c r="F36" s="116">
        <v>510.75</v>
      </c>
      <c r="G36" s="116">
        <v>212</v>
      </c>
      <c r="H36" s="116">
        <v>298.75</v>
      </c>
      <c r="I36" s="114"/>
      <c r="J36" s="114"/>
      <c r="K36" s="114"/>
    </row>
    <row r="37" spans="1:11" ht="18.75" customHeight="1">
      <c r="A37" s="8">
        <v>2</v>
      </c>
      <c r="B37" s="9" t="s">
        <v>165</v>
      </c>
      <c r="C37" s="115"/>
      <c r="D37" s="115"/>
      <c r="E37" s="115"/>
      <c r="F37" s="113">
        <v>291.553</v>
      </c>
      <c r="G37" s="116"/>
      <c r="H37" s="116">
        <v>291.553</v>
      </c>
      <c r="I37" s="114"/>
      <c r="J37" s="114"/>
      <c r="K37" s="114"/>
    </row>
    <row r="38" spans="1:11" ht="22.5" customHeight="1">
      <c r="A38" s="8">
        <v>3</v>
      </c>
      <c r="B38" s="9" t="s">
        <v>168</v>
      </c>
      <c r="C38" s="112">
        <f aca="true" t="shared" si="5" ref="C38:H38">SUM(C39,C42)</f>
        <v>200300</v>
      </c>
      <c r="D38" s="112">
        <f t="shared" si="5"/>
        <v>200300</v>
      </c>
      <c r="E38" s="112">
        <f t="shared" si="5"/>
        <v>0</v>
      </c>
      <c r="F38" s="113">
        <f t="shared" si="5"/>
        <v>186973.337758</v>
      </c>
      <c r="G38" s="113">
        <f t="shared" si="5"/>
        <v>68865.320313</v>
      </c>
      <c r="H38" s="113">
        <f t="shared" si="5"/>
        <v>118108.017445</v>
      </c>
      <c r="I38" s="114">
        <f aca="true" t="shared" si="6" ref="I38:J40">F38/C38</f>
        <v>0.9334664890564154</v>
      </c>
      <c r="J38" s="114">
        <f t="shared" si="6"/>
        <v>0.3438108852371443</v>
      </c>
      <c r="K38" s="114"/>
    </row>
    <row r="39" spans="1:11" ht="15.75">
      <c r="A39" s="8"/>
      <c r="B39" s="9" t="s">
        <v>169</v>
      </c>
      <c r="C39" s="112">
        <f aca="true" t="shared" si="7" ref="C39:H39">SUM(C40:C41)</f>
        <v>142000</v>
      </c>
      <c r="D39" s="112">
        <f t="shared" si="7"/>
        <v>142000</v>
      </c>
      <c r="E39" s="112">
        <f t="shared" si="7"/>
        <v>0</v>
      </c>
      <c r="F39" s="113">
        <f t="shared" si="7"/>
        <v>142372.109142</v>
      </c>
      <c r="G39" s="113">
        <f t="shared" si="7"/>
        <v>61790.231</v>
      </c>
      <c r="H39" s="113">
        <f t="shared" si="7"/>
        <v>80581.878142</v>
      </c>
      <c r="I39" s="114">
        <f t="shared" si="6"/>
        <v>1.0026204869154929</v>
      </c>
      <c r="J39" s="114">
        <f t="shared" si="6"/>
        <v>0.4351424718309859</v>
      </c>
      <c r="K39" s="114"/>
    </row>
    <row r="40" spans="1:11" ht="15.75">
      <c r="A40" s="120"/>
      <c r="B40" s="10" t="s">
        <v>170</v>
      </c>
      <c r="C40" s="115">
        <v>142000</v>
      </c>
      <c r="D40" s="115">
        <v>142000</v>
      </c>
      <c r="E40" s="115"/>
      <c r="F40" s="116">
        <v>132013.955775</v>
      </c>
      <c r="G40" s="116">
        <v>61790.231</v>
      </c>
      <c r="H40" s="116">
        <v>70223.724775</v>
      </c>
      <c r="I40" s="117">
        <f t="shared" si="6"/>
        <v>0.9296757448943662</v>
      </c>
      <c r="J40" s="117">
        <f t="shared" si="6"/>
        <v>0.4351424718309859</v>
      </c>
      <c r="K40" s="114"/>
    </row>
    <row r="41" spans="1:11" ht="15.75">
      <c r="A41" s="120"/>
      <c r="B41" s="10" t="s">
        <v>171</v>
      </c>
      <c r="C41" s="115"/>
      <c r="D41" s="115"/>
      <c r="E41" s="115"/>
      <c r="F41" s="116">
        <v>10358.153367</v>
      </c>
      <c r="G41" s="116"/>
      <c r="H41" s="116">
        <v>10358.153367</v>
      </c>
      <c r="I41" s="117"/>
      <c r="J41" s="117"/>
      <c r="K41" s="114"/>
    </row>
    <row r="42" spans="1:11" ht="15.75">
      <c r="A42" s="8"/>
      <c r="B42" s="9" t="s">
        <v>172</v>
      </c>
      <c r="C42" s="115">
        <v>58300</v>
      </c>
      <c r="D42" s="115">
        <v>58300</v>
      </c>
      <c r="E42" s="115"/>
      <c r="F42" s="116">
        <v>44601.228616</v>
      </c>
      <c r="G42" s="116">
        <v>7075.089313</v>
      </c>
      <c r="H42" s="116">
        <v>37526.139303</v>
      </c>
      <c r="I42" s="117">
        <f>F42/C42</f>
        <v>0.7650296503602059</v>
      </c>
      <c r="J42" s="117">
        <f>G42/D42</f>
        <v>0.12135659198970841</v>
      </c>
      <c r="K42" s="114"/>
    </row>
    <row r="43" spans="1:11" ht="15.75">
      <c r="A43" s="8">
        <v>5</v>
      </c>
      <c r="B43" s="9" t="s">
        <v>173</v>
      </c>
      <c r="C43" s="115"/>
      <c r="D43" s="115"/>
      <c r="E43" s="115"/>
      <c r="F43" s="116">
        <v>181.7022</v>
      </c>
      <c r="G43" s="116"/>
      <c r="H43" s="116">
        <v>181.7022</v>
      </c>
      <c r="I43" s="117"/>
      <c r="J43" s="117"/>
      <c r="K43" s="114"/>
    </row>
    <row r="44" spans="1:11" ht="15.75">
      <c r="A44" s="8">
        <v>6</v>
      </c>
      <c r="B44" s="256" t="s">
        <v>107</v>
      </c>
      <c r="C44" s="115"/>
      <c r="D44" s="115"/>
      <c r="E44" s="115"/>
      <c r="F44" s="116">
        <v>53.9218</v>
      </c>
      <c r="G44" s="116">
        <v>53.9218</v>
      </c>
      <c r="H44" s="116"/>
      <c r="I44" s="117"/>
      <c r="J44" s="117"/>
      <c r="K44" s="114"/>
    </row>
    <row r="45" spans="1:11" ht="15.75">
      <c r="A45" s="31" t="s">
        <v>365</v>
      </c>
      <c r="B45" s="32" t="s">
        <v>298</v>
      </c>
      <c r="C45" s="112">
        <f aca="true" t="shared" si="8" ref="C45:H45">SUM(C46,C54)</f>
        <v>620965</v>
      </c>
      <c r="D45" s="112">
        <f t="shared" si="8"/>
        <v>620965</v>
      </c>
      <c r="E45" s="112">
        <f t="shared" si="8"/>
        <v>0</v>
      </c>
      <c r="F45" s="113">
        <f t="shared" si="8"/>
        <v>992897.7967569999</v>
      </c>
      <c r="G45" s="113">
        <f t="shared" si="8"/>
        <v>875904.0197679999</v>
      </c>
      <c r="H45" s="113">
        <f t="shared" si="8"/>
        <v>116993.776989</v>
      </c>
      <c r="I45" s="114">
        <f aca="true" t="shared" si="9" ref="I45:J48">F45/C45</f>
        <v>1.598959356416223</v>
      </c>
      <c r="J45" s="114">
        <f t="shared" si="9"/>
        <v>1.4105529615485572</v>
      </c>
      <c r="K45" s="114"/>
    </row>
    <row r="46" spans="1:11" ht="15.75">
      <c r="A46" s="8" t="s">
        <v>294</v>
      </c>
      <c r="B46" s="9" t="s">
        <v>297</v>
      </c>
      <c r="C46" s="112">
        <f aca="true" t="shared" si="10" ref="C46:H46">SUM(C47:C49)</f>
        <v>562059</v>
      </c>
      <c r="D46" s="112">
        <f t="shared" si="10"/>
        <v>562059</v>
      </c>
      <c r="E46" s="112">
        <f t="shared" si="10"/>
        <v>0</v>
      </c>
      <c r="F46" s="113">
        <f t="shared" si="10"/>
        <v>917146.4760799999</v>
      </c>
      <c r="G46" s="113">
        <f t="shared" si="10"/>
        <v>811292.1019619999</v>
      </c>
      <c r="H46" s="113">
        <f t="shared" si="10"/>
        <v>105854.374118</v>
      </c>
      <c r="I46" s="114">
        <f t="shared" si="9"/>
        <v>1.6317619254918077</v>
      </c>
      <c r="J46" s="114">
        <f t="shared" si="9"/>
        <v>1.44342871826979</v>
      </c>
      <c r="K46" s="114"/>
    </row>
    <row r="47" spans="1:11" ht="15.75">
      <c r="A47" s="9" t="s">
        <v>295</v>
      </c>
      <c r="B47" s="9" t="s">
        <v>175</v>
      </c>
      <c r="C47" s="115">
        <v>315769</v>
      </c>
      <c r="D47" s="115">
        <v>315769</v>
      </c>
      <c r="E47" s="115"/>
      <c r="F47" s="113">
        <v>319116.864732</v>
      </c>
      <c r="G47" s="113">
        <v>239868.039796</v>
      </c>
      <c r="H47" s="113">
        <v>79248.824936</v>
      </c>
      <c r="I47" s="114">
        <f t="shared" si="9"/>
        <v>1.0106022590311272</v>
      </c>
      <c r="J47" s="114">
        <f t="shared" si="9"/>
        <v>0.7596313754548419</v>
      </c>
      <c r="K47" s="114"/>
    </row>
    <row r="48" spans="1:11" ht="15.75">
      <c r="A48" s="9" t="s">
        <v>296</v>
      </c>
      <c r="B48" s="9" t="s">
        <v>108</v>
      </c>
      <c r="C48" s="112">
        <v>246290</v>
      </c>
      <c r="D48" s="112">
        <v>246290</v>
      </c>
      <c r="E48" s="112"/>
      <c r="F48" s="113">
        <v>310989.814957</v>
      </c>
      <c r="G48" s="113">
        <v>284384.265775</v>
      </c>
      <c r="H48" s="113">
        <v>26605.549182</v>
      </c>
      <c r="I48" s="114">
        <f t="shared" si="9"/>
        <v>1.2626976936010395</v>
      </c>
      <c r="J48" s="114">
        <f t="shared" si="9"/>
        <v>1.1546724015388363</v>
      </c>
      <c r="K48" s="114"/>
    </row>
    <row r="49" spans="1:11" ht="15.75">
      <c r="A49" s="9" t="s">
        <v>299</v>
      </c>
      <c r="B49" s="9" t="s">
        <v>177</v>
      </c>
      <c r="C49" s="115"/>
      <c r="D49" s="115"/>
      <c r="E49" s="115"/>
      <c r="F49" s="113">
        <v>287039.796391</v>
      </c>
      <c r="G49" s="113">
        <v>287039.796391</v>
      </c>
      <c r="H49" s="113"/>
      <c r="I49" s="114"/>
      <c r="J49" s="114"/>
      <c r="K49" s="114"/>
    </row>
    <row r="50" spans="1:11" ht="15.75">
      <c r="A50" s="10">
        <v>1</v>
      </c>
      <c r="B50" s="10" t="s">
        <v>109</v>
      </c>
      <c r="C50" s="115"/>
      <c r="D50" s="115"/>
      <c r="E50" s="115"/>
      <c r="F50" s="116">
        <v>163025.382188</v>
      </c>
      <c r="G50" s="116">
        <v>163025.382188</v>
      </c>
      <c r="H50" s="116"/>
      <c r="I50" s="114"/>
      <c r="J50" s="114"/>
      <c r="K50" s="114"/>
    </row>
    <row r="51" spans="1:11" ht="15.75">
      <c r="A51" s="10">
        <v>2</v>
      </c>
      <c r="B51" s="10" t="s">
        <v>110</v>
      </c>
      <c r="C51" s="115"/>
      <c r="D51" s="115"/>
      <c r="E51" s="115"/>
      <c r="F51" s="116">
        <v>9237.472452</v>
      </c>
      <c r="G51" s="116">
        <v>9237.472452</v>
      </c>
      <c r="H51" s="116"/>
      <c r="I51" s="114"/>
      <c r="J51" s="114"/>
      <c r="K51" s="114"/>
    </row>
    <row r="52" spans="1:11" ht="15.75">
      <c r="A52" s="10">
        <v>3</v>
      </c>
      <c r="B52" s="10" t="s">
        <v>180</v>
      </c>
      <c r="C52" s="115"/>
      <c r="D52" s="115"/>
      <c r="E52" s="115"/>
      <c r="F52" s="116">
        <v>112239.83887</v>
      </c>
      <c r="G52" s="116">
        <v>112239.83887</v>
      </c>
      <c r="H52" s="116"/>
      <c r="I52" s="114"/>
      <c r="J52" s="114"/>
      <c r="K52" s="114"/>
    </row>
    <row r="53" spans="1:11" ht="15.75">
      <c r="A53" s="10">
        <v>4</v>
      </c>
      <c r="B53" s="10" t="s">
        <v>181</v>
      </c>
      <c r="C53" s="115"/>
      <c r="D53" s="115"/>
      <c r="E53" s="115"/>
      <c r="F53" s="116">
        <v>2537.102881</v>
      </c>
      <c r="G53" s="116">
        <v>2537.102881</v>
      </c>
      <c r="H53" s="116"/>
      <c r="I53" s="114"/>
      <c r="J53" s="114"/>
      <c r="K53" s="114"/>
    </row>
    <row r="54" spans="1:11" ht="15.75">
      <c r="A54" s="121" t="s">
        <v>300</v>
      </c>
      <c r="B54" s="122" t="s">
        <v>182</v>
      </c>
      <c r="C54" s="112">
        <f>SUM(C55:C63,C64:C77)</f>
        <v>58906</v>
      </c>
      <c r="D54" s="112">
        <f>SUM(D55:D63,D64:D77)</f>
        <v>58906</v>
      </c>
      <c r="E54" s="112">
        <f>SUM(E55:E63,E64:E77)</f>
        <v>0</v>
      </c>
      <c r="F54" s="113">
        <f>SUM(F55:F77)</f>
        <v>75751.320677</v>
      </c>
      <c r="G54" s="113">
        <f>SUM(G55:G77)</f>
        <v>64611.917806000005</v>
      </c>
      <c r="H54" s="113">
        <f>SUM(H55:H77)</f>
        <v>11139.402871</v>
      </c>
      <c r="I54" s="114">
        <f>F54/C54</f>
        <v>1.2859695222388212</v>
      </c>
      <c r="J54" s="114">
        <f>G54/D54</f>
        <v>1.0968647982548467</v>
      </c>
      <c r="K54" s="114"/>
    </row>
    <row r="55" spans="1:11" ht="30" customHeight="1">
      <c r="A55" s="21">
        <v>1</v>
      </c>
      <c r="B55" s="12" t="s">
        <v>111</v>
      </c>
      <c r="C55" s="115"/>
      <c r="D55" s="115"/>
      <c r="E55" s="115"/>
      <c r="F55" s="116">
        <v>2161.403</v>
      </c>
      <c r="G55" s="116">
        <v>2087.1</v>
      </c>
      <c r="H55" s="116">
        <v>74.303</v>
      </c>
      <c r="I55" s="114"/>
      <c r="J55" s="114"/>
      <c r="K55" s="114"/>
    </row>
    <row r="56" spans="1:11" ht="19.5" customHeight="1">
      <c r="A56" s="257">
        <v>2</v>
      </c>
      <c r="B56" s="17" t="s">
        <v>183</v>
      </c>
      <c r="C56" s="115"/>
      <c r="D56" s="115"/>
      <c r="E56" s="115"/>
      <c r="F56" s="116">
        <v>5644.8845</v>
      </c>
      <c r="G56" s="116">
        <v>5644.8845</v>
      </c>
      <c r="H56" s="116"/>
      <c r="I56" s="114"/>
      <c r="J56" s="114"/>
      <c r="K56" s="114"/>
    </row>
    <row r="57" spans="1:11" ht="19.5" customHeight="1">
      <c r="A57" s="21">
        <v>3</v>
      </c>
      <c r="B57" s="17" t="s">
        <v>184</v>
      </c>
      <c r="C57" s="115"/>
      <c r="D57" s="115"/>
      <c r="E57" s="115"/>
      <c r="F57" s="116">
        <v>800</v>
      </c>
      <c r="G57" s="116">
        <v>720</v>
      </c>
      <c r="H57" s="116">
        <v>80</v>
      </c>
      <c r="I57" s="114"/>
      <c r="J57" s="114"/>
      <c r="K57" s="114"/>
    </row>
    <row r="58" spans="1:11" ht="37.5" customHeight="1">
      <c r="A58" s="257">
        <v>4</v>
      </c>
      <c r="B58" s="12" t="s">
        <v>59</v>
      </c>
      <c r="C58" s="115"/>
      <c r="D58" s="115"/>
      <c r="E58" s="115"/>
      <c r="F58" s="116">
        <v>650.4756</v>
      </c>
      <c r="G58" s="116">
        <v>514.5213</v>
      </c>
      <c r="H58" s="116">
        <v>135.9543</v>
      </c>
      <c r="I58" s="114"/>
      <c r="J58" s="114"/>
      <c r="K58" s="114"/>
    </row>
    <row r="59" spans="1:11" ht="19.5" customHeight="1">
      <c r="A59" s="21">
        <v>5</v>
      </c>
      <c r="B59" s="17" t="s">
        <v>105</v>
      </c>
      <c r="C59" s="115"/>
      <c r="D59" s="115"/>
      <c r="E59" s="115"/>
      <c r="F59" s="116">
        <v>5015.705712</v>
      </c>
      <c r="G59" s="116">
        <v>4399.432746</v>
      </c>
      <c r="H59" s="116">
        <v>616.272966</v>
      </c>
      <c r="I59" s="114"/>
      <c r="J59" s="114"/>
      <c r="K59" s="114"/>
    </row>
    <row r="60" spans="1:11" ht="26.25" customHeight="1">
      <c r="A60" s="257">
        <v>6</v>
      </c>
      <c r="B60" s="17" t="s">
        <v>186</v>
      </c>
      <c r="C60" s="115"/>
      <c r="D60" s="115"/>
      <c r="E60" s="115"/>
      <c r="F60" s="116">
        <v>26.349</v>
      </c>
      <c r="G60" s="116"/>
      <c r="H60" s="116">
        <v>26.349</v>
      </c>
      <c r="I60" s="114"/>
      <c r="J60" s="114"/>
      <c r="K60" s="114"/>
    </row>
    <row r="61" spans="1:11" ht="45" customHeight="1">
      <c r="A61" s="21">
        <v>7</v>
      </c>
      <c r="B61" s="12" t="s">
        <v>112</v>
      </c>
      <c r="C61" s="115"/>
      <c r="D61" s="115"/>
      <c r="E61" s="115"/>
      <c r="F61" s="116">
        <v>111.8</v>
      </c>
      <c r="G61" s="116"/>
      <c r="H61" s="116">
        <v>111.8</v>
      </c>
      <c r="I61" s="114"/>
      <c r="J61" s="114"/>
      <c r="K61" s="114"/>
    </row>
    <row r="62" spans="1:11" ht="54" customHeight="1">
      <c r="A62" s="257">
        <v>8</v>
      </c>
      <c r="B62" s="258" t="s">
        <v>195</v>
      </c>
      <c r="C62" s="115"/>
      <c r="D62" s="115"/>
      <c r="E62" s="115"/>
      <c r="F62" s="116">
        <v>32.977</v>
      </c>
      <c r="G62" s="116"/>
      <c r="H62" s="116">
        <v>32.977</v>
      </c>
      <c r="I62" s="114"/>
      <c r="J62" s="114"/>
      <c r="K62" s="114"/>
    </row>
    <row r="63" spans="1:11" ht="34.5" customHeight="1">
      <c r="A63" s="21">
        <v>9</v>
      </c>
      <c r="B63" s="12" t="s">
        <v>113</v>
      </c>
      <c r="C63" s="115"/>
      <c r="D63" s="115"/>
      <c r="E63" s="115"/>
      <c r="F63" s="116">
        <v>540</v>
      </c>
      <c r="G63" s="116">
        <v>540</v>
      </c>
      <c r="H63" s="116"/>
      <c r="I63" s="114"/>
      <c r="J63" s="114"/>
      <c r="K63" s="114"/>
    </row>
    <row r="64" spans="1:11" ht="36" customHeight="1">
      <c r="A64" s="257">
        <v>10</v>
      </c>
      <c r="B64" s="259" t="s">
        <v>188</v>
      </c>
      <c r="C64" s="115"/>
      <c r="D64" s="115"/>
      <c r="E64" s="115"/>
      <c r="F64" s="116">
        <v>7862.166868</v>
      </c>
      <c r="G64" s="116">
        <v>7862.166868</v>
      </c>
      <c r="H64" s="116"/>
      <c r="I64" s="114"/>
      <c r="J64" s="114"/>
      <c r="K64" s="114"/>
    </row>
    <row r="65" spans="1:11" ht="31.5">
      <c r="A65" s="21">
        <v>11</v>
      </c>
      <c r="B65" s="12" t="s">
        <v>486</v>
      </c>
      <c r="C65" s="115"/>
      <c r="D65" s="115"/>
      <c r="E65" s="115"/>
      <c r="F65" s="116">
        <v>4500</v>
      </c>
      <c r="G65" s="116">
        <v>4500</v>
      </c>
      <c r="H65" s="116"/>
      <c r="I65" s="114"/>
      <c r="J65" s="114"/>
      <c r="K65" s="114"/>
    </row>
    <row r="66" spans="1:11" ht="31.5" customHeight="1">
      <c r="A66" s="257">
        <v>12</v>
      </c>
      <c r="B66" s="12" t="s">
        <v>104</v>
      </c>
      <c r="C66" s="115">
        <v>2215</v>
      </c>
      <c r="D66" s="115">
        <v>2215</v>
      </c>
      <c r="E66" s="115"/>
      <c r="F66" s="116">
        <v>1040.2834</v>
      </c>
      <c r="G66" s="116">
        <v>986.2834</v>
      </c>
      <c r="H66" s="116">
        <v>54</v>
      </c>
      <c r="I66" s="114">
        <f>F66/C66</f>
        <v>0.4696539051918736</v>
      </c>
      <c r="J66" s="114"/>
      <c r="K66" s="114"/>
    </row>
    <row r="67" spans="1:11" ht="15.75">
      <c r="A67" s="21">
        <v>13</v>
      </c>
      <c r="B67" s="17" t="s">
        <v>60</v>
      </c>
      <c r="C67" s="115"/>
      <c r="D67" s="115"/>
      <c r="E67" s="115"/>
      <c r="F67" s="116">
        <v>10575.048326</v>
      </c>
      <c r="G67" s="116">
        <v>10575.048326</v>
      </c>
      <c r="H67" s="116"/>
      <c r="I67" s="114"/>
      <c r="J67" s="114"/>
      <c r="K67" s="114"/>
    </row>
    <row r="68" spans="1:11" ht="63" customHeight="1">
      <c r="A68" s="257">
        <v>14</v>
      </c>
      <c r="B68" s="12" t="s">
        <v>103</v>
      </c>
      <c r="C68" s="115"/>
      <c r="D68" s="115"/>
      <c r="E68" s="115"/>
      <c r="F68" s="116">
        <v>1723.408</v>
      </c>
      <c r="G68" s="116">
        <v>3.408</v>
      </c>
      <c r="H68" s="116">
        <v>1720</v>
      </c>
      <c r="I68" s="114"/>
      <c r="J68" s="114"/>
      <c r="K68" s="114"/>
    </row>
    <row r="69" spans="1:11" ht="15.75">
      <c r="A69" s="21">
        <v>15</v>
      </c>
      <c r="B69" s="11" t="s">
        <v>65</v>
      </c>
      <c r="C69" s="115"/>
      <c r="D69" s="115"/>
      <c r="E69" s="115"/>
      <c r="F69" s="116">
        <v>160.978585</v>
      </c>
      <c r="G69" s="116"/>
      <c r="H69" s="116">
        <v>160.978585</v>
      </c>
      <c r="I69" s="114"/>
      <c r="J69" s="114"/>
      <c r="K69" s="114"/>
    </row>
    <row r="70" spans="1:11" ht="15.75">
      <c r="A70" s="257">
        <v>16</v>
      </c>
      <c r="B70" s="11" t="s">
        <v>193</v>
      </c>
      <c r="C70" s="115">
        <v>1610</v>
      </c>
      <c r="D70" s="115">
        <v>1610</v>
      </c>
      <c r="E70" s="115"/>
      <c r="F70" s="116">
        <v>1022.998</v>
      </c>
      <c r="G70" s="116">
        <v>1022.998</v>
      </c>
      <c r="H70" s="116"/>
      <c r="I70" s="114">
        <f>F70/C70</f>
        <v>0.6354024844720497</v>
      </c>
      <c r="J70" s="114">
        <f>G70/D70</f>
        <v>0.6354024844720497</v>
      </c>
      <c r="K70" s="114"/>
    </row>
    <row r="71" spans="1:11" ht="15.75">
      <c r="A71" s="21">
        <v>17</v>
      </c>
      <c r="B71" s="11" t="s">
        <v>61</v>
      </c>
      <c r="C71" s="115">
        <v>50000</v>
      </c>
      <c r="D71" s="115">
        <v>50000</v>
      </c>
      <c r="E71" s="115"/>
      <c r="F71" s="116">
        <v>4344.647</v>
      </c>
      <c r="G71" s="116">
        <v>3583.328</v>
      </c>
      <c r="H71" s="116">
        <v>761.319</v>
      </c>
      <c r="I71" s="114">
        <f>F71/C71</f>
        <v>0.08689294</v>
      </c>
      <c r="J71" s="114">
        <f>G71/D71</f>
        <v>0.07166656</v>
      </c>
      <c r="K71" s="114"/>
    </row>
    <row r="72" spans="1:11" ht="15.75">
      <c r="A72" s="257">
        <v>18</v>
      </c>
      <c r="B72" s="260" t="s">
        <v>62</v>
      </c>
      <c r="C72" s="115"/>
      <c r="D72" s="115"/>
      <c r="E72" s="115"/>
      <c r="F72" s="116">
        <v>11096.66852</v>
      </c>
      <c r="G72" s="116">
        <v>4089.9495</v>
      </c>
      <c r="H72" s="116">
        <v>7006.7190200000005</v>
      </c>
      <c r="I72" s="114"/>
      <c r="J72" s="114"/>
      <c r="K72" s="114"/>
    </row>
    <row r="73" spans="1:11" ht="15.75">
      <c r="A73" s="21">
        <v>19</v>
      </c>
      <c r="B73" s="11" t="s">
        <v>63</v>
      </c>
      <c r="C73" s="115"/>
      <c r="D73" s="115"/>
      <c r="E73" s="115"/>
      <c r="F73" s="116">
        <v>580</v>
      </c>
      <c r="G73" s="116">
        <v>580</v>
      </c>
      <c r="H73" s="116"/>
      <c r="I73" s="114"/>
      <c r="J73" s="114"/>
      <c r="K73" s="114"/>
    </row>
    <row r="74" spans="1:11" ht="31.5">
      <c r="A74" s="257">
        <v>20</v>
      </c>
      <c r="B74" s="12" t="s">
        <v>64</v>
      </c>
      <c r="C74" s="115">
        <v>221</v>
      </c>
      <c r="D74" s="115">
        <v>221</v>
      </c>
      <c r="E74" s="115"/>
      <c r="F74" s="116">
        <v>221</v>
      </c>
      <c r="G74" s="116">
        <v>221</v>
      </c>
      <c r="H74" s="116"/>
      <c r="I74" s="114">
        <f>F74/C74</f>
        <v>1</v>
      </c>
      <c r="J74" s="114"/>
      <c r="K74" s="114"/>
    </row>
    <row r="75" spans="1:11" ht="15.75">
      <c r="A75" s="21">
        <v>21</v>
      </c>
      <c r="B75" s="11" t="s">
        <v>11</v>
      </c>
      <c r="C75" s="115">
        <v>4860</v>
      </c>
      <c r="D75" s="115">
        <v>4860</v>
      </c>
      <c r="E75" s="115"/>
      <c r="F75" s="116">
        <v>5037.422168</v>
      </c>
      <c r="G75" s="116">
        <v>5037.422168</v>
      </c>
      <c r="H75" s="116"/>
      <c r="I75" s="114">
        <f>F75/C75</f>
        <v>1.0365066189300411</v>
      </c>
      <c r="J75" s="114">
        <f>G75/D75</f>
        <v>1.0365066189300411</v>
      </c>
      <c r="K75" s="114"/>
    </row>
    <row r="76" spans="1:11" ht="32.25" customHeight="1">
      <c r="A76" s="257">
        <v>22</v>
      </c>
      <c r="B76" s="12" t="s">
        <v>12</v>
      </c>
      <c r="C76" s="115"/>
      <c r="D76" s="115"/>
      <c r="E76" s="115"/>
      <c r="F76" s="116">
        <v>12244.374998</v>
      </c>
      <c r="G76" s="116">
        <v>12244.374998</v>
      </c>
      <c r="H76" s="116"/>
      <c r="I76" s="117"/>
      <c r="J76" s="117"/>
      <c r="K76" s="117"/>
    </row>
    <row r="77" spans="1:11" ht="15.75">
      <c r="A77" s="21">
        <v>23</v>
      </c>
      <c r="B77" s="11" t="s">
        <v>13</v>
      </c>
      <c r="C77" s="115"/>
      <c r="D77" s="115"/>
      <c r="E77" s="115"/>
      <c r="F77" s="116">
        <v>358.73</v>
      </c>
      <c r="G77" s="116"/>
      <c r="H77" s="116">
        <v>358.73</v>
      </c>
      <c r="I77" s="117"/>
      <c r="J77" s="117"/>
      <c r="K77" s="117"/>
    </row>
    <row r="78" spans="1:11" ht="15.75">
      <c r="A78" s="110" t="s">
        <v>368</v>
      </c>
      <c r="B78" s="123" t="s">
        <v>292</v>
      </c>
      <c r="C78" s="124"/>
      <c r="D78" s="124"/>
      <c r="E78" s="124"/>
      <c r="F78" s="125">
        <f>SUM(G78:H78)</f>
        <v>1771731.919738</v>
      </c>
      <c r="G78" s="125">
        <v>1270567.831278</v>
      </c>
      <c r="H78" s="125">
        <f>419772.438406+81391.650054</f>
        <v>501164.08846</v>
      </c>
      <c r="I78" s="266"/>
      <c r="J78" s="266"/>
      <c r="K78" s="124"/>
    </row>
    <row r="79" spans="1:11" ht="60" customHeight="1">
      <c r="A79" s="366"/>
      <c r="B79" s="366"/>
      <c r="C79" s="366"/>
      <c r="D79" s="366"/>
      <c r="E79" s="366"/>
      <c r="F79" s="366"/>
      <c r="G79" s="366"/>
      <c r="H79" s="366"/>
      <c r="I79" s="366"/>
      <c r="J79" s="366"/>
      <c r="K79" s="366"/>
    </row>
  </sheetData>
  <sheetProtection/>
  <mergeCells count="12">
    <mergeCell ref="A79:K79"/>
    <mergeCell ref="A5:A6"/>
    <mergeCell ref="B5:B6"/>
    <mergeCell ref="C5:C6"/>
    <mergeCell ref="D5:E5"/>
    <mergeCell ref="F5:F6"/>
    <mergeCell ref="G5:H5"/>
    <mergeCell ref="I5:K5"/>
    <mergeCell ref="H1:K1"/>
    <mergeCell ref="A2:K2"/>
    <mergeCell ref="J4:K4"/>
    <mergeCell ref="A3:K3"/>
  </mergeCells>
  <printOptions horizontalCentered="1"/>
  <pageMargins left="0" right="0" top="0.5" bottom="0" header="0.5" footer="0.5"/>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sheetPr>
    <tabColor indexed="33"/>
  </sheetPr>
  <dimension ref="A1:X103"/>
  <sheetViews>
    <sheetView zoomScalePageLayoutView="0" workbookViewId="0" topLeftCell="A1">
      <pane xSplit="2" ySplit="8" topLeftCell="C9" activePane="bottomRight" state="frozen"/>
      <selection pane="topLeft" activeCell="A1" sqref="A1"/>
      <selection pane="topRight" activeCell="C1" sqref="C1"/>
      <selection pane="bottomLeft" activeCell="A14" sqref="A14"/>
      <selection pane="bottomRight" activeCell="A4" sqref="A4"/>
    </sheetView>
  </sheetViews>
  <sheetFormatPr defaultColWidth="10.421875" defaultRowHeight="15"/>
  <cols>
    <col min="1" max="1" width="6.8515625" style="268" customWidth="1"/>
    <col min="2" max="2" width="37.28125" style="268" customWidth="1"/>
    <col min="3" max="3" width="12.8515625" style="268" bestFit="1" customWidth="1"/>
    <col min="4" max="4" width="11.8515625" style="269" customWidth="1"/>
    <col min="5" max="5" width="12.421875" style="269" customWidth="1"/>
    <col min="6" max="6" width="11.28125" style="269" customWidth="1"/>
    <col min="7" max="7" width="13.00390625" style="269" customWidth="1"/>
    <col min="8" max="8" width="11.421875" style="269" hidden="1" customWidth="1"/>
    <col min="9" max="9" width="11.28125" style="268" bestFit="1" customWidth="1"/>
    <col min="10" max="10" width="14.8515625" style="268" customWidth="1"/>
    <col min="11" max="11" width="13.00390625" style="268" customWidth="1"/>
    <col min="12" max="12" width="12.00390625" style="268" customWidth="1"/>
    <col min="13" max="13" width="10.28125" style="268" customWidth="1"/>
    <col min="14" max="14" width="10.8515625" style="268" customWidth="1"/>
    <col min="15" max="15" width="12.00390625" style="268" customWidth="1"/>
    <col min="16" max="16" width="11.7109375" style="268" customWidth="1"/>
    <col min="17" max="17" width="13.00390625" style="268" customWidth="1"/>
    <col min="18" max="20" width="17.8515625" style="268" hidden="1" customWidth="1"/>
    <col min="21" max="21" width="12.8515625" style="268" customWidth="1"/>
    <col min="22" max="22" width="10.421875" style="268" customWidth="1"/>
    <col min="23" max="23" width="9.421875" style="268" customWidth="1"/>
    <col min="24" max="24" width="11.8515625" style="268" bestFit="1" customWidth="1"/>
    <col min="25" max="16384" width="10.421875" style="268" customWidth="1"/>
  </cols>
  <sheetData>
    <row r="1" spans="16:23" ht="15.75">
      <c r="P1" s="379" t="s">
        <v>315</v>
      </c>
      <c r="Q1" s="379"/>
      <c r="R1" s="379"/>
      <c r="S1" s="379"/>
      <c r="T1" s="379"/>
      <c r="U1" s="379"/>
      <c r="V1" s="379"/>
      <c r="W1" s="379"/>
    </row>
    <row r="2" spans="1:23" ht="15.75">
      <c r="A2" s="387" t="s">
        <v>483</v>
      </c>
      <c r="B2" s="387"/>
      <c r="C2" s="387"/>
      <c r="D2" s="387"/>
      <c r="E2" s="387"/>
      <c r="F2" s="387"/>
      <c r="G2" s="387"/>
      <c r="H2" s="387"/>
      <c r="I2" s="387"/>
      <c r="J2" s="387"/>
      <c r="K2" s="387"/>
      <c r="L2" s="387"/>
      <c r="M2" s="387"/>
      <c r="N2" s="387"/>
      <c r="O2" s="387"/>
      <c r="P2" s="387"/>
      <c r="Q2" s="387"/>
      <c r="R2" s="387"/>
      <c r="S2" s="387"/>
      <c r="T2" s="387"/>
      <c r="U2" s="387"/>
      <c r="V2" s="387"/>
      <c r="W2" s="387"/>
    </row>
    <row r="3" spans="1:23" ht="18.75" customHeight="1">
      <c r="A3" s="382" t="str">
        <f>'Biểu 01'!A4:F4</f>
        <v>(Kèm theo Nghị quyết  số 111/NQ-HĐND ngày  10 tháng  7  năm 2019 của Hội đồng nhân dân tỉnh Điện Biên)</v>
      </c>
      <c r="B3" s="382"/>
      <c r="C3" s="382"/>
      <c r="D3" s="382"/>
      <c r="E3" s="382"/>
      <c r="F3" s="382"/>
      <c r="G3" s="382"/>
      <c r="H3" s="382"/>
      <c r="I3" s="382"/>
      <c r="J3" s="382"/>
      <c r="K3" s="382"/>
      <c r="L3" s="382"/>
      <c r="M3" s="382"/>
      <c r="N3" s="382"/>
      <c r="O3" s="382"/>
      <c r="P3" s="382"/>
      <c r="Q3" s="382"/>
      <c r="R3" s="382"/>
      <c r="S3" s="382"/>
      <c r="T3" s="382"/>
      <c r="U3" s="382"/>
      <c r="V3" s="382"/>
      <c r="W3" s="382"/>
    </row>
    <row r="4" spans="2:23" ht="21" customHeight="1">
      <c r="B4" s="269"/>
      <c r="K4" s="270"/>
      <c r="L4" s="270"/>
      <c r="M4" s="270"/>
      <c r="N4" s="271"/>
      <c r="O4" s="271"/>
      <c r="P4" s="271"/>
      <c r="Q4" s="271"/>
      <c r="R4" s="271"/>
      <c r="S4" s="271"/>
      <c r="T4" s="271"/>
      <c r="U4" s="271"/>
      <c r="V4" s="381" t="s">
        <v>363</v>
      </c>
      <c r="W4" s="381"/>
    </row>
    <row r="5" spans="1:23" s="274" customFormat="1" ht="27.75" customHeight="1">
      <c r="A5" s="386" t="s">
        <v>358</v>
      </c>
      <c r="B5" s="386" t="s">
        <v>386</v>
      </c>
      <c r="C5" s="388" t="s">
        <v>55</v>
      </c>
      <c r="D5" s="389"/>
      <c r="E5" s="389"/>
      <c r="F5" s="389"/>
      <c r="G5" s="389"/>
      <c r="H5" s="389"/>
      <c r="I5" s="388" t="s">
        <v>331</v>
      </c>
      <c r="J5" s="389"/>
      <c r="K5" s="389"/>
      <c r="L5" s="389"/>
      <c r="M5" s="389"/>
      <c r="N5" s="389"/>
      <c r="O5" s="389"/>
      <c r="P5" s="389"/>
      <c r="Q5" s="390"/>
      <c r="R5" s="273"/>
      <c r="S5" s="273"/>
      <c r="T5" s="273"/>
      <c r="U5" s="378" t="s">
        <v>138</v>
      </c>
      <c r="V5" s="378"/>
      <c r="W5" s="378"/>
    </row>
    <row r="6" spans="1:23" ht="23.25" customHeight="1">
      <c r="A6" s="386"/>
      <c r="B6" s="386"/>
      <c r="C6" s="386" t="s">
        <v>382</v>
      </c>
      <c r="D6" s="391" t="s">
        <v>136</v>
      </c>
      <c r="E6" s="396" t="s">
        <v>373</v>
      </c>
      <c r="F6" s="391" t="s">
        <v>83</v>
      </c>
      <c r="G6" s="391" t="s">
        <v>120</v>
      </c>
      <c r="H6" s="391" t="s">
        <v>340</v>
      </c>
      <c r="I6" s="386" t="s">
        <v>382</v>
      </c>
      <c r="J6" s="384" t="s">
        <v>99</v>
      </c>
      <c r="K6" s="386" t="s">
        <v>100</v>
      </c>
      <c r="L6" s="384" t="s">
        <v>83</v>
      </c>
      <c r="M6" s="384" t="s">
        <v>120</v>
      </c>
      <c r="N6" s="393" t="s">
        <v>284</v>
      </c>
      <c r="O6" s="394"/>
      <c r="P6" s="395"/>
      <c r="Q6" s="384" t="s">
        <v>306</v>
      </c>
      <c r="R6" s="384" t="s">
        <v>76</v>
      </c>
      <c r="S6" s="384" t="s">
        <v>77</v>
      </c>
      <c r="T6" s="384" t="s">
        <v>101</v>
      </c>
      <c r="U6" s="386" t="s">
        <v>382</v>
      </c>
      <c r="V6" s="386" t="s">
        <v>373</v>
      </c>
      <c r="W6" s="384" t="s">
        <v>340</v>
      </c>
    </row>
    <row r="7" spans="1:23" ht="44.25" customHeight="1">
      <c r="A7" s="386"/>
      <c r="B7" s="386"/>
      <c r="C7" s="386"/>
      <c r="D7" s="392"/>
      <c r="E7" s="396"/>
      <c r="F7" s="392"/>
      <c r="G7" s="392"/>
      <c r="H7" s="392"/>
      <c r="I7" s="386"/>
      <c r="J7" s="385"/>
      <c r="K7" s="386"/>
      <c r="L7" s="385"/>
      <c r="M7" s="385"/>
      <c r="N7" s="276" t="s">
        <v>382</v>
      </c>
      <c r="O7" s="276" t="s">
        <v>1</v>
      </c>
      <c r="P7" s="277" t="s">
        <v>285</v>
      </c>
      <c r="Q7" s="385"/>
      <c r="R7" s="385"/>
      <c r="S7" s="385"/>
      <c r="T7" s="385"/>
      <c r="U7" s="386"/>
      <c r="V7" s="386"/>
      <c r="W7" s="385"/>
    </row>
    <row r="8" spans="1:23" s="278" customFormat="1" ht="12.75">
      <c r="A8" s="272" t="s">
        <v>360</v>
      </c>
      <c r="B8" s="272" t="s">
        <v>361</v>
      </c>
      <c r="C8" s="272">
        <v>1</v>
      </c>
      <c r="D8" s="275">
        <v>2</v>
      </c>
      <c r="E8" s="272">
        <v>3</v>
      </c>
      <c r="F8" s="275">
        <v>4</v>
      </c>
      <c r="G8" s="272">
        <v>5</v>
      </c>
      <c r="H8" s="275">
        <v>6</v>
      </c>
      <c r="I8" s="272">
        <v>7</v>
      </c>
      <c r="J8" s="275">
        <v>8</v>
      </c>
      <c r="K8" s="272">
        <v>9</v>
      </c>
      <c r="L8" s="275">
        <v>10</v>
      </c>
      <c r="M8" s="272">
        <v>11</v>
      </c>
      <c r="N8" s="275">
        <v>12</v>
      </c>
      <c r="O8" s="272">
        <v>13</v>
      </c>
      <c r="P8" s="275">
        <v>14</v>
      </c>
      <c r="Q8" s="272">
        <v>15</v>
      </c>
      <c r="R8" s="275">
        <v>16</v>
      </c>
      <c r="S8" s="272">
        <v>17</v>
      </c>
      <c r="T8" s="275">
        <v>18</v>
      </c>
      <c r="U8" s="272">
        <v>19</v>
      </c>
      <c r="V8" s="275">
        <v>20</v>
      </c>
      <c r="W8" s="272">
        <v>21</v>
      </c>
    </row>
    <row r="9" spans="1:24" s="286" customFormat="1" ht="24.75" customHeight="1">
      <c r="A9" s="279"/>
      <c r="B9" s="279" t="s">
        <v>282</v>
      </c>
      <c r="C9" s="280">
        <f aca="true" t="shared" si="0" ref="C9:T9">SUM(C10,C78,C92)</f>
        <v>1363494</v>
      </c>
      <c r="D9" s="280">
        <f t="shared" si="0"/>
        <v>14792</v>
      </c>
      <c r="E9" s="280">
        <f t="shared" si="0"/>
        <v>1343885</v>
      </c>
      <c r="F9" s="280">
        <f t="shared" si="0"/>
        <v>3817</v>
      </c>
      <c r="G9" s="280">
        <f t="shared" si="0"/>
        <v>1000</v>
      </c>
      <c r="H9" s="281">
        <f t="shared" si="0"/>
        <v>0</v>
      </c>
      <c r="I9" s="281">
        <f t="shared" si="0"/>
        <v>3701046.7634579996</v>
      </c>
      <c r="J9" s="281">
        <f t="shared" si="0"/>
        <v>1369224.8582220003</v>
      </c>
      <c r="K9" s="281">
        <f t="shared" si="0"/>
        <v>1943079.076985999</v>
      </c>
      <c r="L9" s="281">
        <f t="shared" si="0"/>
        <v>1681.2276229999998</v>
      </c>
      <c r="M9" s="281">
        <f t="shared" si="0"/>
        <v>1000</v>
      </c>
      <c r="N9" s="281">
        <f t="shared" si="0"/>
        <v>70212.50071299999</v>
      </c>
      <c r="O9" s="281">
        <f t="shared" si="0"/>
        <v>61844.152799999996</v>
      </c>
      <c r="P9" s="281">
        <f t="shared" si="0"/>
        <v>8368.347913</v>
      </c>
      <c r="Q9" s="281">
        <f t="shared" si="0"/>
        <v>315849.099914</v>
      </c>
      <c r="R9" s="282">
        <f t="shared" si="0"/>
        <v>93731.317615</v>
      </c>
      <c r="S9" s="282">
        <f t="shared" si="0"/>
        <v>4684.168248</v>
      </c>
      <c r="T9" s="282">
        <f t="shared" si="0"/>
        <v>217433.614051</v>
      </c>
      <c r="U9" s="283">
        <f aca="true" t="shared" si="1" ref="U9:U38">I9/C9</f>
        <v>2.714384341594462</v>
      </c>
      <c r="V9" s="283">
        <f aca="true" t="shared" si="2" ref="V9:V38">K9/E9</f>
        <v>1.445867077157643</v>
      </c>
      <c r="W9" s="284"/>
      <c r="X9" s="285"/>
    </row>
    <row r="10" spans="1:24" s="286" customFormat="1" ht="24.75" customHeight="1">
      <c r="A10" s="287">
        <v>1</v>
      </c>
      <c r="B10" s="288" t="s">
        <v>194</v>
      </c>
      <c r="C10" s="289">
        <f>SUM(C11:C77)</f>
        <v>1352273</v>
      </c>
      <c r="D10" s="289">
        <f aca="true" t="shared" si="3" ref="D10:Q10">SUM(D11:D77)</f>
        <v>14792</v>
      </c>
      <c r="E10" s="289">
        <f t="shared" si="3"/>
        <v>1332664</v>
      </c>
      <c r="F10" s="289">
        <f t="shared" si="3"/>
        <v>3817</v>
      </c>
      <c r="G10" s="289">
        <f t="shared" si="3"/>
        <v>1000</v>
      </c>
      <c r="H10" s="290">
        <f t="shared" si="3"/>
        <v>0</v>
      </c>
      <c r="I10" s="290">
        <f>SUM(I11:I77)</f>
        <v>2851082.657893999</v>
      </c>
      <c r="J10" s="290">
        <f t="shared" si="3"/>
        <v>691385.5075150001</v>
      </c>
      <c r="K10" s="290">
        <f t="shared" si="3"/>
        <v>1927997.928628999</v>
      </c>
      <c r="L10" s="290">
        <f t="shared" si="3"/>
        <v>1681.2276229999998</v>
      </c>
      <c r="M10" s="290">
        <f t="shared" si="3"/>
        <v>1000</v>
      </c>
      <c r="N10" s="290">
        <f t="shared" si="3"/>
        <v>70212.50071299999</v>
      </c>
      <c r="O10" s="290">
        <f t="shared" si="3"/>
        <v>61844.152799999996</v>
      </c>
      <c r="P10" s="290">
        <f t="shared" si="3"/>
        <v>8368.347913</v>
      </c>
      <c r="Q10" s="290">
        <f t="shared" si="3"/>
        <v>158805.49341400003</v>
      </c>
      <c r="R10" s="291">
        <f>SUM(R11:R77)</f>
        <v>93697.136115</v>
      </c>
      <c r="S10" s="291">
        <f>SUM(S11:S77)</f>
        <v>4684.168248</v>
      </c>
      <c r="T10" s="291">
        <f>SUM(T11:T77)</f>
        <v>60424.189051</v>
      </c>
      <c r="U10" s="283">
        <f t="shared" si="1"/>
        <v>2.1083632209576018</v>
      </c>
      <c r="V10" s="283">
        <f t="shared" si="2"/>
        <v>1.44672470227229</v>
      </c>
      <c r="W10" s="292"/>
      <c r="X10" s="285"/>
    </row>
    <row r="11" spans="1:24" s="302" customFormat="1" ht="24.75" customHeight="1">
      <c r="A11" s="293">
        <v>1</v>
      </c>
      <c r="B11" s="294" t="s">
        <v>260</v>
      </c>
      <c r="C11" s="295">
        <f>SUM(D11:H11)</f>
        <v>71760</v>
      </c>
      <c r="D11" s="295"/>
      <c r="E11" s="296">
        <v>71760</v>
      </c>
      <c r="F11" s="295"/>
      <c r="G11" s="295"/>
      <c r="H11" s="297"/>
      <c r="I11" s="297">
        <f aca="true" t="shared" si="4" ref="I11:I73">SUM(J11:M11,N11,Q11)</f>
        <v>94335.315867</v>
      </c>
      <c r="J11" s="297">
        <v>13456.9184</v>
      </c>
      <c r="K11" s="297">
        <f>75936.397467+3500+1292</f>
        <v>80728.397467</v>
      </c>
      <c r="L11" s="297"/>
      <c r="M11" s="297"/>
      <c r="N11" s="297">
        <f>SUM(O11:P11)</f>
        <v>150</v>
      </c>
      <c r="O11" s="297"/>
      <c r="P11" s="297">
        <v>150</v>
      </c>
      <c r="Q11" s="297">
        <f>SUM(R11:T11)</f>
        <v>0</v>
      </c>
      <c r="R11" s="298"/>
      <c r="S11" s="298"/>
      <c r="T11" s="298"/>
      <c r="U11" s="299">
        <f t="shared" si="1"/>
        <v>1.3145947027173912</v>
      </c>
      <c r="V11" s="299">
        <f t="shared" si="2"/>
        <v>1.1249776681577481</v>
      </c>
      <c r="W11" s="300"/>
      <c r="X11" s="301"/>
    </row>
    <row r="12" spans="1:23" s="308" customFormat="1" ht="24.75" customHeight="1">
      <c r="A12" s="293">
        <v>2</v>
      </c>
      <c r="B12" s="303" t="s">
        <v>72</v>
      </c>
      <c r="C12" s="295">
        <f aca="true" t="shared" si="5" ref="C12:C77">SUM(D12:H12)</f>
        <v>26538</v>
      </c>
      <c r="D12" s="304"/>
      <c r="E12" s="296">
        <v>26538</v>
      </c>
      <c r="F12" s="304"/>
      <c r="G12" s="304"/>
      <c r="H12" s="305"/>
      <c r="I12" s="297">
        <f t="shared" si="4"/>
        <v>44823.586200000005</v>
      </c>
      <c r="J12" s="305">
        <v>17696.917</v>
      </c>
      <c r="K12" s="305">
        <f>24733.186591+2196.917+196</f>
        <v>27126.103591000003</v>
      </c>
      <c r="L12" s="305"/>
      <c r="M12" s="305"/>
      <c r="N12" s="297">
        <f aca="true" t="shared" si="6" ref="N12:N91">SUM(O12:P12)</f>
        <v>0</v>
      </c>
      <c r="O12" s="305"/>
      <c r="P12" s="305"/>
      <c r="Q12" s="297">
        <f>SUM(R12:T12)</f>
        <v>0.565609</v>
      </c>
      <c r="R12" s="306">
        <v>0.565609</v>
      </c>
      <c r="S12" s="306"/>
      <c r="T12" s="306"/>
      <c r="U12" s="299">
        <f t="shared" si="1"/>
        <v>1.6890340718969028</v>
      </c>
      <c r="V12" s="299">
        <f t="shared" si="2"/>
        <v>1.0221608105735174</v>
      </c>
      <c r="W12" s="307"/>
    </row>
    <row r="13" spans="1:23" s="308" customFormat="1" ht="24.75" customHeight="1">
      <c r="A13" s="293">
        <v>3</v>
      </c>
      <c r="B13" s="303" t="s">
        <v>73</v>
      </c>
      <c r="C13" s="295">
        <f t="shared" si="5"/>
        <v>0</v>
      </c>
      <c r="D13" s="304"/>
      <c r="E13" s="296"/>
      <c r="F13" s="304"/>
      <c r="G13" s="304"/>
      <c r="H13" s="305"/>
      <c r="I13" s="297">
        <f t="shared" si="4"/>
        <v>8442.06689</v>
      </c>
      <c r="J13" s="305">
        <v>8042.06689</v>
      </c>
      <c r="K13" s="305">
        <v>400</v>
      </c>
      <c r="L13" s="305"/>
      <c r="M13" s="305"/>
      <c r="N13" s="297">
        <f t="shared" si="6"/>
        <v>0</v>
      </c>
      <c r="O13" s="305"/>
      <c r="P13" s="305"/>
      <c r="Q13" s="297">
        <f aca="true" t="shared" si="7" ref="Q13:Q76">SUM(R13:T13)</f>
        <v>0</v>
      </c>
      <c r="R13" s="306"/>
      <c r="S13" s="306"/>
      <c r="T13" s="306"/>
      <c r="U13" s="299"/>
      <c r="V13" s="299"/>
      <c r="W13" s="307"/>
    </row>
    <row r="14" spans="1:23" s="308" customFormat="1" ht="24.75" customHeight="1">
      <c r="A14" s="293">
        <v>4</v>
      </c>
      <c r="B14" s="303" t="s">
        <v>396</v>
      </c>
      <c r="C14" s="295">
        <f t="shared" si="5"/>
        <v>13000</v>
      </c>
      <c r="D14" s="304"/>
      <c r="E14" s="296">
        <v>13000</v>
      </c>
      <c r="F14" s="304"/>
      <c r="G14" s="304"/>
      <c r="H14" s="305"/>
      <c r="I14" s="297">
        <f t="shared" si="4"/>
        <v>12951.556405000001</v>
      </c>
      <c r="J14" s="305">
        <v>0</v>
      </c>
      <c r="K14" s="305">
        <f>12816.106405+124</f>
        <v>12940.106405</v>
      </c>
      <c r="L14" s="305"/>
      <c r="M14" s="305"/>
      <c r="N14" s="297">
        <f t="shared" si="6"/>
        <v>0</v>
      </c>
      <c r="O14" s="305"/>
      <c r="P14" s="305"/>
      <c r="Q14" s="297">
        <f t="shared" si="7"/>
        <v>11.45</v>
      </c>
      <c r="R14" s="306">
        <v>11.45</v>
      </c>
      <c r="S14" s="306"/>
      <c r="T14" s="306"/>
      <c r="U14" s="299">
        <f t="shared" si="1"/>
        <v>0.9962735696153847</v>
      </c>
      <c r="V14" s="299">
        <f t="shared" si="2"/>
        <v>0.9953928003846154</v>
      </c>
      <c r="W14" s="307"/>
    </row>
    <row r="15" spans="1:23" s="308" customFormat="1" ht="24.75" customHeight="1">
      <c r="A15" s="293">
        <v>5</v>
      </c>
      <c r="B15" s="303" t="s">
        <v>43</v>
      </c>
      <c r="C15" s="295">
        <f t="shared" si="5"/>
        <v>54191</v>
      </c>
      <c r="D15" s="304"/>
      <c r="E15" s="296">
        <v>54191</v>
      </c>
      <c r="F15" s="304"/>
      <c r="G15" s="304"/>
      <c r="H15" s="305"/>
      <c r="I15" s="297">
        <f t="shared" si="4"/>
        <v>76202.222751</v>
      </c>
      <c r="J15" s="305">
        <f>4815.285151-53.9218</f>
        <v>4761.363351</v>
      </c>
      <c r="K15" s="305">
        <f>62923.2523+720+2827.4853+541</f>
        <v>67011.7376</v>
      </c>
      <c r="L15" s="305"/>
      <c r="M15" s="305"/>
      <c r="N15" s="297">
        <f t="shared" si="6"/>
        <v>53.9218</v>
      </c>
      <c r="O15" s="305">
        <v>53.9218</v>
      </c>
      <c r="P15" s="305"/>
      <c r="Q15" s="297">
        <f t="shared" si="7"/>
        <v>4375.2</v>
      </c>
      <c r="R15" s="306">
        <v>1375.2</v>
      </c>
      <c r="S15" s="306"/>
      <c r="T15" s="306">
        <v>3000</v>
      </c>
      <c r="U15" s="299">
        <f t="shared" si="1"/>
        <v>1.406178567492757</v>
      </c>
      <c r="V15" s="299">
        <f t="shared" si="2"/>
        <v>1.2365842593788636</v>
      </c>
      <c r="W15" s="307"/>
    </row>
    <row r="16" spans="1:23" s="309" customFormat="1" ht="24.75" customHeight="1">
      <c r="A16" s="293">
        <v>6</v>
      </c>
      <c r="B16" s="303" t="s">
        <v>253</v>
      </c>
      <c r="C16" s="295">
        <f t="shared" si="5"/>
        <v>19084</v>
      </c>
      <c r="D16" s="304"/>
      <c r="E16" s="296">
        <v>19084</v>
      </c>
      <c r="F16" s="304"/>
      <c r="G16" s="304"/>
      <c r="H16" s="305"/>
      <c r="I16" s="297">
        <f t="shared" si="4"/>
        <v>38409.10378699999</v>
      </c>
      <c r="J16" s="305">
        <v>17220.9178</v>
      </c>
      <c r="K16" s="305">
        <f>20684.649301+30.997</f>
        <v>20715.646301</v>
      </c>
      <c r="L16" s="305"/>
      <c r="M16" s="305"/>
      <c r="N16" s="297">
        <f t="shared" si="6"/>
        <v>0</v>
      </c>
      <c r="O16" s="305"/>
      <c r="P16" s="305"/>
      <c r="Q16" s="297">
        <f>SUM(R16:T16)</f>
        <v>472.53968599999996</v>
      </c>
      <c r="R16" s="306">
        <f>241.539686+218+13</f>
        <v>472.53968599999996</v>
      </c>
      <c r="S16" s="306"/>
      <c r="T16" s="306"/>
      <c r="U16" s="299">
        <f t="shared" si="1"/>
        <v>2.0126338182246903</v>
      </c>
      <c r="V16" s="299">
        <f t="shared" si="2"/>
        <v>1.0854981293753931</v>
      </c>
      <c r="W16" s="307"/>
    </row>
    <row r="17" spans="1:23" s="308" customFormat="1" ht="24.75" customHeight="1">
      <c r="A17" s="293">
        <v>7</v>
      </c>
      <c r="B17" s="303" t="s">
        <v>278</v>
      </c>
      <c r="C17" s="295">
        <f t="shared" si="5"/>
        <v>14464</v>
      </c>
      <c r="D17" s="304"/>
      <c r="E17" s="296">
        <v>14464</v>
      </c>
      <c r="F17" s="304"/>
      <c r="G17" s="304"/>
      <c r="H17" s="305"/>
      <c r="I17" s="297">
        <f t="shared" si="4"/>
        <v>48071.285037</v>
      </c>
      <c r="J17" s="305">
        <v>5618.6376</v>
      </c>
      <c r="K17" s="305">
        <f>9785.727189+32115.567+89</f>
        <v>41990.294189</v>
      </c>
      <c r="L17" s="305"/>
      <c r="M17" s="305"/>
      <c r="N17" s="297">
        <f t="shared" si="6"/>
        <v>0</v>
      </c>
      <c r="O17" s="305"/>
      <c r="P17" s="305"/>
      <c r="Q17" s="297">
        <f t="shared" si="7"/>
        <v>462.353248</v>
      </c>
      <c r="R17" s="306"/>
      <c r="S17" s="306">
        <v>462.128248</v>
      </c>
      <c r="T17" s="306">
        <v>0.225</v>
      </c>
      <c r="U17" s="299">
        <f t="shared" si="1"/>
        <v>3.323512516385509</v>
      </c>
      <c r="V17" s="299">
        <f t="shared" si="2"/>
        <v>2.903090029659845</v>
      </c>
      <c r="W17" s="307"/>
    </row>
    <row r="18" spans="1:23" s="308" customFormat="1" ht="24.75" customHeight="1">
      <c r="A18" s="293">
        <v>8</v>
      </c>
      <c r="B18" s="303" t="s">
        <v>258</v>
      </c>
      <c r="C18" s="295">
        <f t="shared" si="5"/>
        <v>18971</v>
      </c>
      <c r="D18" s="304"/>
      <c r="E18" s="296">
        <v>18971</v>
      </c>
      <c r="F18" s="304"/>
      <c r="G18" s="304"/>
      <c r="H18" s="305"/>
      <c r="I18" s="297">
        <f t="shared" si="4"/>
        <v>48499.52404</v>
      </c>
      <c r="J18" s="305">
        <v>14068.90554</v>
      </c>
      <c r="K18" s="305">
        <f>28549.698209+4500+236.44</f>
        <v>33286.138209</v>
      </c>
      <c r="L18" s="305"/>
      <c r="M18" s="305"/>
      <c r="N18" s="297">
        <f t="shared" si="6"/>
        <v>899.6185</v>
      </c>
      <c r="O18" s="305"/>
      <c r="P18" s="305">
        <v>899.6185</v>
      </c>
      <c r="Q18" s="297">
        <f t="shared" si="7"/>
        <v>244.861791</v>
      </c>
      <c r="R18" s="306">
        <f>238.301791+6.56</f>
        <v>244.861791</v>
      </c>
      <c r="S18" s="306"/>
      <c r="T18" s="306"/>
      <c r="U18" s="299">
        <f t="shared" si="1"/>
        <v>2.556508567814032</v>
      </c>
      <c r="V18" s="299">
        <f t="shared" si="2"/>
        <v>1.754580054240683</v>
      </c>
      <c r="W18" s="307"/>
    </row>
    <row r="19" spans="1:23" s="308" customFormat="1" ht="24.75" customHeight="1">
      <c r="A19" s="293">
        <v>9</v>
      </c>
      <c r="B19" s="303" t="s">
        <v>251</v>
      </c>
      <c r="C19" s="295">
        <f t="shared" si="5"/>
        <v>4753</v>
      </c>
      <c r="D19" s="304"/>
      <c r="E19" s="296">
        <v>4753</v>
      </c>
      <c r="F19" s="304"/>
      <c r="G19" s="304"/>
      <c r="H19" s="305"/>
      <c r="I19" s="297">
        <f t="shared" si="4"/>
        <v>16320.048326</v>
      </c>
      <c r="J19" s="305">
        <v>0</v>
      </c>
      <c r="K19" s="305">
        <f>5451.478+801.225268+8690.011958+1083.8111+60</f>
        <v>16086.526326</v>
      </c>
      <c r="L19" s="305"/>
      <c r="M19" s="305"/>
      <c r="N19" s="297">
        <f t="shared" si="6"/>
        <v>0</v>
      </c>
      <c r="O19" s="305"/>
      <c r="P19" s="305"/>
      <c r="Q19" s="297">
        <f t="shared" si="7"/>
        <v>233.522</v>
      </c>
      <c r="R19" s="306">
        <v>233.522</v>
      </c>
      <c r="S19" s="306"/>
      <c r="T19" s="306"/>
      <c r="U19" s="299">
        <f t="shared" si="1"/>
        <v>3.4336310385019986</v>
      </c>
      <c r="V19" s="299">
        <f t="shared" si="2"/>
        <v>3.3844995426046705</v>
      </c>
      <c r="W19" s="307"/>
    </row>
    <row r="20" spans="1:23" s="308" customFormat="1" ht="24.75" customHeight="1">
      <c r="A20" s="293">
        <v>10</v>
      </c>
      <c r="B20" s="303" t="s">
        <v>405</v>
      </c>
      <c r="C20" s="295">
        <f>SUM(D20:H20)</f>
        <v>8858</v>
      </c>
      <c r="D20" s="304"/>
      <c r="E20" s="296">
        <v>8858</v>
      </c>
      <c r="F20" s="304"/>
      <c r="G20" s="304"/>
      <c r="H20" s="305"/>
      <c r="I20" s="297">
        <f t="shared" si="4"/>
        <v>10768.360679</v>
      </c>
      <c r="J20" s="305">
        <v>0</v>
      </c>
      <c r="K20" s="305">
        <v>10514.776784</v>
      </c>
      <c r="L20" s="305"/>
      <c r="M20" s="305"/>
      <c r="N20" s="297">
        <f t="shared" si="6"/>
        <v>0</v>
      </c>
      <c r="O20" s="305"/>
      <c r="P20" s="305"/>
      <c r="Q20" s="297">
        <f t="shared" si="7"/>
        <v>253.583895</v>
      </c>
      <c r="R20" s="306">
        <v>253.583895</v>
      </c>
      <c r="S20" s="306"/>
      <c r="T20" s="306"/>
      <c r="U20" s="299">
        <f t="shared" si="1"/>
        <v>1.2156650123052608</v>
      </c>
      <c r="V20" s="299">
        <f t="shared" si="2"/>
        <v>1.1870373429668095</v>
      </c>
      <c r="W20" s="307"/>
    </row>
    <row r="21" spans="1:23" s="308" customFormat="1" ht="24.75" customHeight="1">
      <c r="A21" s="293">
        <v>11</v>
      </c>
      <c r="B21" s="303" t="s">
        <v>255</v>
      </c>
      <c r="C21" s="295">
        <f t="shared" si="5"/>
        <v>10454</v>
      </c>
      <c r="D21" s="304"/>
      <c r="E21" s="296">
        <v>10454</v>
      </c>
      <c r="F21" s="304"/>
      <c r="G21" s="304"/>
      <c r="H21" s="305"/>
      <c r="I21" s="297">
        <f t="shared" si="4"/>
        <v>12643.414</v>
      </c>
      <c r="J21" s="305">
        <v>0</v>
      </c>
      <c r="K21" s="305">
        <v>9610.791000000001</v>
      </c>
      <c r="L21" s="305"/>
      <c r="M21" s="305"/>
      <c r="N21" s="297">
        <f t="shared" si="6"/>
        <v>0</v>
      </c>
      <c r="O21" s="305"/>
      <c r="P21" s="305"/>
      <c r="Q21" s="297">
        <f t="shared" si="7"/>
        <v>3032.623</v>
      </c>
      <c r="R21" s="306">
        <f>576.623+26</f>
        <v>602.623</v>
      </c>
      <c r="S21" s="306">
        <f>2430</f>
        <v>2430</v>
      </c>
      <c r="T21" s="306"/>
      <c r="U21" s="299">
        <f t="shared" si="1"/>
        <v>1.2094331356418597</v>
      </c>
      <c r="V21" s="299">
        <f t="shared" si="2"/>
        <v>0.9193410177922328</v>
      </c>
      <c r="W21" s="307"/>
    </row>
    <row r="22" spans="1:23" s="308" customFormat="1" ht="24.75" customHeight="1">
      <c r="A22" s="293">
        <v>12</v>
      </c>
      <c r="B22" s="303" t="s">
        <v>252</v>
      </c>
      <c r="C22" s="295">
        <f t="shared" si="5"/>
        <v>11660</v>
      </c>
      <c r="D22" s="304"/>
      <c r="E22" s="296">
        <v>11660</v>
      </c>
      <c r="F22" s="304"/>
      <c r="G22" s="304"/>
      <c r="H22" s="305"/>
      <c r="I22" s="297">
        <f t="shared" si="4"/>
        <v>11375.2834</v>
      </c>
      <c r="J22" s="305">
        <v>0</v>
      </c>
      <c r="K22" s="305">
        <f>10258+986.2834+81</f>
        <v>11325.2834</v>
      </c>
      <c r="L22" s="305"/>
      <c r="M22" s="305"/>
      <c r="N22" s="297">
        <f t="shared" si="6"/>
        <v>50</v>
      </c>
      <c r="O22" s="305"/>
      <c r="P22" s="305">
        <v>50</v>
      </c>
      <c r="Q22" s="297">
        <f t="shared" si="7"/>
        <v>0</v>
      </c>
      <c r="R22" s="306"/>
      <c r="S22" s="306"/>
      <c r="T22" s="306"/>
      <c r="U22" s="299">
        <f t="shared" si="1"/>
        <v>0.9755817667238422</v>
      </c>
      <c r="V22" s="299">
        <f t="shared" si="2"/>
        <v>0.971293602058319</v>
      </c>
      <c r="W22" s="307"/>
    </row>
    <row r="23" spans="1:23" s="308" customFormat="1" ht="24.75" customHeight="1">
      <c r="A23" s="293">
        <v>13</v>
      </c>
      <c r="B23" s="303" t="s">
        <v>254</v>
      </c>
      <c r="C23" s="295">
        <f t="shared" si="5"/>
        <v>17984</v>
      </c>
      <c r="D23" s="304"/>
      <c r="E23" s="296">
        <v>17984</v>
      </c>
      <c r="F23" s="304"/>
      <c r="G23" s="304"/>
      <c r="H23" s="305"/>
      <c r="I23" s="297">
        <f t="shared" si="4"/>
        <v>23201.051999999996</v>
      </c>
      <c r="J23" s="305">
        <v>4875.026</v>
      </c>
      <c r="K23" s="305">
        <f>13199+4875.026+252</f>
        <v>18326.025999999998</v>
      </c>
      <c r="L23" s="305"/>
      <c r="M23" s="305"/>
      <c r="N23" s="297">
        <f t="shared" si="6"/>
        <v>0</v>
      </c>
      <c r="O23" s="305"/>
      <c r="P23" s="305"/>
      <c r="Q23" s="297">
        <f t="shared" si="7"/>
        <v>0</v>
      </c>
      <c r="R23" s="306"/>
      <c r="S23" s="306"/>
      <c r="T23" s="306"/>
      <c r="U23" s="299">
        <f t="shared" si="1"/>
        <v>1.290094083629893</v>
      </c>
      <c r="V23" s="299">
        <f t="shared" si="2"/>
        <v>1.019018349644128</v>
      </c>
      <c r="W23" s="307"/>
    </row>
    <row r="24" spans="1:23" s="308" customFormat="1" ht="24.75" customHeight="1">
      <c r="A24" s="293">
        <v>14</v>
      </c>
      <c r="B24" s="303" t="s">
        <v>257</v>
      </c>
      <c r="C24" s="295">
        <f t="shared" si="5"/>
        <v>10214</v>
      </c>
      <c r="D24" s="304"/>
      <c r="E24" s="296">
        <v>10214</v>
      </c>
      <c r="F24" s="304"/>
      <c r="G24" s="304"/>
      <c r="H24" s="305"/>
      <c r="I24" s="297">
        <f t="shared" si="4"/>
        <v>21713.488</v>
      </c>
      <c r="J24" s="305">
        <v>7858</v>
      </c>
      <c r="K24" s="305">
        <f>7838+5500+62</f>
        <v>13400</v>
      </c>
      <c r="L24" s="305"/>
      <c r="M24" s="305"/>
      <c r="N24" s="297">
        <f t="shared" si="6"/>
        <v>455.48799999999994</v>
      </c>
      <c r="O24" s="305"/>
      <c r="P24" s="305">
        <f>299.888+155.6</f>
        <v>455.48799999999994</v>
      </c>
      <c r="Q24" s="297">
        <f t="shared" si="7"/>
        <v>0</v>
      </c>
      <c r="R24" s="306"/>
      <c r="S24" s="306"/>
      <c r="T24" s="306"/>
      <c r="U24" s="299">
        <f t="shared" si="1"/>
        <v>2.1258554924613278</v>
      </c>
      <c r="V24" s="299">
        <f t="shared" si="2"/>
        <v>1.3119248090855689</v>
      </c>
      <c r="W24" s="307"/>
    </row>
    <row r="25" spans="1:23" s="308" customFormat="1" ht="24.75" customHeight="1">
      <c r="A25" s="293">
        <v>15</v>
      </c>
      <c r="B25" s="303" t="s">
        <v>412</v>
      </c>
      <c r="C25" s="295">
        <f t="shared" si="5"/>
        <v>14312</v>
      </c>
      <c r="D25" s="304"/>
      <c r="E25" s="296">
        <v>14312</v>
      </c>
      <c r="F25" s="304"/>
      <c r="G25" s="304"/>
      <c r="H25" s="305"/>
      <c r="I25" s="297">
        <f t="shared" si="4"/>
        <v>21657.671299999998</v>
      </c>
      <c r="J25" s="305">
        <v>2653.632</v>
      </c>
      <c r="K25" s="305">
        <f>15213.446316+283</f>
        <v>15496.446316</v>
      </c>
      <c r="L25" s="305"/>
      <c r="M25" s="305"/>
      <c r="N25" s="297">
        <f t="shared" si="6"/>
        <v>0</v>
      </c>
      <c r="O25" s="305"/>
      <c r="P25" s="305"/>
      <c r="Q25" s="297">
        <f t="shared" si="7"/>
        <v>3507.592984</v>
      </c>
      <c r="R25" s="306">
        <v>3507.592984</v>
      </c>
      <c r="S25" s="306"/>
      <c r="T25" s="306"/>
      <c r="U25" s="299">
        <f t="shared" si="1"/>
        <v>1.5132526062045835</v>
      </c>
      <c r="V25" s="299">
        <f t="shared" si="2"/>
        <v>1.0827589656232532</v>
      </c>
      <c r="W25" s="307"/>
    </row>
    <row r="26" spans="1:23" s="308" customFormat="1" ht="24.75" customHeight="1">
      <c r="A26" s="293">
        <v>16</v>
      </c>
      <c r="B26" s="303" t="s">
        <v>413</v>
      </c>
      <c r="C26" s="295">
        <f t="shared" si="5"/>
        <v>21807</v>
      </c>
      <c r="D26" s="304"/>
      <c r="E26" s="296">
        <v>21807</v>
      </c>
      <c r="F26" s="304"/>
      <c r="G26" s="304"/>
      <c r="H26" s="305"/>
      <c r="I26" s="297">
        <f t="shared" si="4"/>
        <v>57137.228604</v>
      </c>
      <c r="J26" s="305">
        <v>12962.374998</v>
      </c>
      <c r="K26" s="305">
        <f>22442.060125+7862.166868+74+12244.374998+24</f>
        <v>42646.601991</v>
      </c>
      <c r="L26" s="305"/>
      <c r="M26" s="305"/>
      <c r="N26" s="297">
        <f t="shared" si="6"/>
        <v>0</v>
      </c>
      <c r="O26" s="305"/>
      <c r="P26" s="305"/>
      <c r="Q26" s="297">
        <f t="shared" si="7"/>
        <v>1528.2516150000001</v>
      </c>
      <c r="R26" s="306">
        <f>838.851615+623</f>
        <v>1461.851615</v>
      </c>
      <c r="S26" s="306">
        <f>66.4</f>
        <v>66.4</v>
      </c>
      <c r="T26" s="306"/>
      <c r="U26" s="299">
        <f t="shared" si="1"/>
        <v>2.6201324622368967</v>
      </c>
      <c r="V26" s="299">
        <f t="shared" si="2"/>
        <v>1.9556381891594443</v>
      </c>
      <c r="W26" s="307"/>
    </row>
    <row r="27" spans="1:23" s="308" customFormat="1" ht="24.75" customHeight="1">
      <c r="A27" s="293">
        <v>17</v>
      </c>
      <c r="B27" s="303" t="s">
        <v>393</v>
      </c>
      <c r="C27" s="295">
        <f t="shared" si="5"/>
        <v>386595</v>
      </c>
      <c r="D27" s="304"/>
      <c r="E27" s="296">
        <v>386595</v>
      </c>
      <c r="F27" s="304"/>
      <c r="G27" s="304"/>
      <c r="H27" s="305"/>
      <c r="I27" s="297">
        <f t="shared" si="4"/>
        <v>585348.778427</v>
      </c>
      <c r="J27" s="305">
        <f>150551.78558-61790.231</f>
        <v>88761.55458</v>
      </c>
      <c r="K27" s="305">
        <f>410636.08444+197+2418.5718+11972.161338</f>
        <v>425223.81757799996</v>
      </c>
      <c r="L27" s="305"/>
      <c r="M27" s="305"/>
      <c r="N27" s="297">
        <f t="shared" si="6"/>
        <v>64790.205293</v>
      </c>
      <c r="O27" s="305">
        <v>61790.231</v>
      </c>
      <c r="P27" s="305">
        <v>2999.974293</v>
      </c>
      <c r="Q27" s="297">
        <f t="shared" si="7"/>
        <v>6573.200976</v>
      </c>
      <c r="R27" s="306">
        <f>4021.081314+1342.838662</f>
        <v>5363.919976</v>
      </c>
      <c r="S27" s="306"/>
      <c r="T27" s="306">
        <f>1193.628+15.653</f>
        <v>1209.281</v>
      </c>
      <c r="U27" s="299">
        <f t="shared" si="1"/>
        <v>1.5141136807951474</v>
      </c>
      <c r="V27" s="299">
        <f t="shared" si="2"/>
        <v>1.0999206341985799</v>
      </c>
      <c r="W27" s="307"/>
    </row>
    <row r="28" spans="1:23" s="308" customFormat="1" ht="24.75" customHeight="1">
      <c r="A28" s="293">
        <v>18</v>
      </c>
      <c r="B28" s="303" t="s">
        <v>394</v>
      </c>
      <c r="C28" s="295">
        <f t="shared" si="5"/>
        <v>99488</v>
      </c>
      <c r="D28" s="304"/>
      <c r="E28" s="296">
        <v>99488</v>
      </c>
      <c r="F28" s="304"/>
      <c r="G28" s="304"/>
      <c r="H28" s="305"/>
      <c r="I28" s="297">
        <f t="shared" si="4"/>
        <v>131849.899481</v>
      </c>
      <c r="J28" s="305">
        <v>4954.508068</v>
      </c>
      <c r="K28" s="305">
        <f>109900.882895+4605.992096+163+1270.39894</f>
        <v>115940.273931</v>
      </c>
      <c r="L28" s="305"/>
      <c r="M28" s="305"/>
      <c r="N28" s="297">
        <f t="shared" si="6"/>
        <v>1347.5927</v>
      </c>
      <c r="O28" s="305"/>
      <c r="P28" s="305">
        <v>1347.5927</v>
      </c>
      <c r="Q28" s="297">
        <f t="shared" si="7"/>
        <v>9607.524782</v>
      </c>
      <c r="R28" s="306">
        <f>8910.923722+156.60106</f>
        <v>9067.524782</v>
      </c>
      <c r="S28" s="306">
        <f>540</f>
        <v>540</v>
      </c>
      <c r="T28" s="306"/>
      <c r="U28" s="299">
        <f t="shared" si="1"/>
        <v>1.3252844512001447</v>
      </c>
      <c r="V28" s="299">
        <f t="shared" si="2"/>
        <v>1.165369430795674</v>
      </c>
      <c r="W28" s="307"/>
    </row>
    <row r="29" spans="1:23" s="308" customFormat="1" ht="24.75" customHeight="1">
      <c r="A29" s="293">
        <v>19</v>
      </c>
      <c r="B29" s="303" t="s">
        <v>44</v>
      </c>
      <c r="C29" s="295">
        <f t="shared" si="5"/>
        <v>28778</v>
      </c>
      <c r="D29" s="304"/>
      <c r="E29" s="296">
        <v>28778</v>
      </c>
      <c r="F29" s="304"/>
      <c r="G29" s="304"/>
      <c r="H29" s="305"/>
      <c r="I29" s="297">
        <f t="shared" si="4"/>
        <v>41945.9897</v>
      </c>
      <c r="J29" s="305">
        <v>0</v>
      </c>
      <c r="K29" s="305">
        <f>34728.6841+601.6213+2301.924+474</f>
        <v>38106.2294</v>
      </c>
      <c r="L29" s="305"/>
      <c r="M29" s="305"/>
      <c r="N29" s="297">
        <f t="shared" si="6"/>
        <v>554.87</v>
      </c>
      <c r="O29" s="305"/>
      <c r="P29" s="305">
        <v>554.87</v>
      </c>
      <c r="Q29" s="297">
        <f t="shared" si="7"/>
        <v>3284.8903</v>
      </c>
      <c r="R29" s="306">
        <v>3284.8903</v>
      </c>
      <c r="S29" s="306"/>
      <c r="T29" s="306"/>
      <c r="U29" s="299">
        <f t="shared" si="1"/>
        <v>1.4575713982903606</v>
      </c>
      <c r="V29" s="299">
        <f t="shared" si="2"/>
        <v>1.3241444645215095</v>
      </c>
      <c r="W29" s="307"/>
    </row>
    <row r="30" spans="1:23" s="308" customFormat="1" ht="24.75" customHeight="1">
      <c r="A30" s="293">
        <v>20</v>
      </c>
      <c r="B30" s="303" t="s">
        <v>256</v>
      </c>
      <c r="C30" s="295">
        <f t="shared" si="5"/>
        <v>316217</v>
      </c>
      <c r="D30" s="304"/>
      <c r="E30" s="296">
        <v>316217</v>
      </c>
      <c r="F30" s="304"/>
      <c r="G30" s="304"/>
      <c r="H30" s="305"/>
      <c r="I30" s="297">
        <f t="shared" si="4"/>
        <v>475105.08639799996</v>
      </c>
      <c r="J30" s="305">
        <v>33728.869781</v>
      </c>
      <c r="K30" s="305">
        <f>363373.086617+6878.7081+2810.135+933.839+173</f>
        <v>374168.76871699997</v>
      </c>
      <c r="L30" s="305"/>
      <c r="M30" s="305"/>
      <c r="N30" s="297">
        <f t="shared" si="6"/>
        <v>1085.14582</v>
      </c>
      <c r="O30" s="305"/>
      <c r="P30" s="305">
        <v>1085.14582</v>
      </c>
      <c r="Q30" s="297">
        <f t="shared" si="7"/>
        <v>66122.30208</v>
      </c>
      <c r="R30" s="306">
        <v>64492.21208</v>
      </c>
      <c r="S30" s="306"/>
      <c r="T30" s="306">
        <v>1630.09</v>
      </c>
      <c r="U30" s="299">
        <f t="shared" si="1"/>
        <v>1.5024653525838267</v>
      </c>
      <c r="V30" s="299">
        <f t="shared" si="2"/>
        <v>1.1832658228906099</v>
      </c>
      <c r="W30" s="307"/>
    </row>
    <row r="31" spans="1:23" s="308" customFormat="1" ht="24.75" customHeight="1">
      <c r="A31" s="293">
        <v>21</v>
      </c>
      <c r="B31" s="303" t="s">
        <v>398</v>
      </c>
      <c r="C31" s="295">
        <f t="shared" si="5"/>
        <v>23566</v>
      </c>
      <c r="D31" s="304"/>
      <c r="E31" s="296">
        <v>23566</v>
      </c>
      <c r="F31" s="304"/>
      <c r="G31" s="304"/>
      <c r="H31" s="305"/>
      <c r="I31" s="297">
        <f t="shared" si="4"/>
        <v>27453</v>
      </c>
      <c r="J31" s="305">
        <v>1955</v>
      </c>
      <c r="K31" s="305">
        <f>25343+155</f>
        <v>25498</v>
      </c>
      <c r="L31" s="305"/>
      <c r="M31" s="305"/>
      <c r="N31" s="297">
        <f t="shared" si="6"/>
        <v>0</v>
      </c>
      <c r="O31" s="305"/>
      <c r="P31" s="305"/>
      <c r="Q31" s="297">
        <f t="shared" si="7"/>
        <v>0</v>
      </c>
      <c r="R31" s="306"/>
      <c r="S31" s="306"/>
      <c r="T31" s="306"/>
      <c r="U31" s="299">
        <f t="shared" si="1"/>
        <v>1.164941016719002</v>
      </c>
      <c r="V31" s="299">
        <f t="shared" si="2"/>
        <v>1.0819825171857762</v>
      </c>
      <c r="W31" s="307"/>
    </row>
    <row r="32" spans="1:23" s="308" customFormat="1" ht="24.75" customHeight="1">
      <c r="A32" s="293">
        <v>22</v>
      </c>
      <c r="B32" s="303" t="s">
        <v>391</v>
      </c>
      <c r="C32" s="295">
        <f t="shared" si="5"/>
        <v>6430</v>
      </c>
      <c r="D32" s="304"/>
      <c r="E32" s="296">
        <v>6430</v>
      </c>
      <c r="F32" s="304"/>
      <c r="G32" s="304"/>
      <c r="H32" s="305"/>
      <c r="I32" s="297">
        <f t="shared" si="4"/>
        <v>23919.5756</v>
      </c>
      <c r="J32" s="305">
        <v>16963.919</v>
      </c>
      <c r="K32" s="305">
        <f>5129+1022.998+78</f>
        <v>6229.998</v>
      </c>
      <c r="L32" s="305"/>
      <c r="M32" s="305"/>
      <c r="N32" s="297">
        <f t="shared" si="6"/>
        <v>725.6586</v>
      </c>
      <c r="O32" s="305"/>
      <c r="P32" s="305">
        <v>725.6586</v>
      </c>
      <c r="Q32" s="297">
        <f t="shared" si="7"/>
        <v>0</v>
      </c>
      <c r="R32" s="306"/>
      <c r="S32" s="306"/>
      <c r="T32" s="306"/>
      <c r="U32" s="299">
        <f t="shared" si="1"/>
        <v>3.719996205287714</v>
      </c>
      <c r="V32" s="299">
        <f t="shared" si="2"/>
        <v>0.9688954898911353</v>
      </c>
      <c r="W32" s="307"/>
    </row>
    <row r="33" spans="1:23" s="308" customFormat="1" ht="24.75" customHeight="1">
      <c r="A33" s="293">
        <v>23</v>
      </c>
      <c r="B33" s="303" t="s">
        <v>259</v>
      </c>
      <c r="C33" s="295">
        <f t="shared" si="5"/>
        <v>6809</v>
      </c>
      <c r="D33" s="304"/>
      <c r="E33" s="296">
        <v>6809</v>
      </c>
      <c r="F33" s="304"/>
      <c r="G33" s="304"/>
      <c r="H33" s="305"/>
      <c r="I33" s="297">
        <f t="shared" si="4"/>
        <v>6287.0419999999995</v>
      </c>
      <c r="J33" s="305">
        <v>27.521</v>
      </c>
      <c r="K33" s="305">
        <f>6072+27.521+160</f>
        <v>6259.521</v>
      </c>
      <c r="L33" s="305"/>
      <c r="M33" s="305"/>
      <c r="N33" s="297">
        <f t="shared" si="6"/>
        <v>0</v>
      </c>
      <c r="O33" s="305"/>
      <c r="P33" s="305"/>
      <c r="Q33" s="297">
        <f t="shared" si="7"/>
        <v>0</v>
      </c>
      <c r="R33" s="306"/>
      <c r="S33" s="306"/>
      <c r="T33" s="306"/>
      <c r="U33" s="299">
        <f t="shared" si="1"/>
        <v>0.9233429284770156</v>
      </c>
      <c r="V33" s="299">
        <f t="shared" si="2"/>
        <v>0.919301072110442</v>
      </c>
      <c r="W33" s="307"/>
    </row>
    <row r="34" spans="1:23" s="308" customFormat="1" ht="24.75" customHeight="1">
      <c r="A34" s="293">
        <v>24</v>
      </c>
      <c r="B34" s="303" t="s">
        <v>397</v>
      </c>
      <c r="C34" s="295">
        <f t="shared" si="5"/>
        <v>21522</v>
      </c>
      <c r="D34" s="304"/>
      <c r="E34" s="296">
        <v>21522</v>
      </c>
      <c r="F34" s="304"/>
      <c r="G34" s="304"/>
      <c r="H34" s="305"/>
      <c r="I34" s="297">
        <f t="shared" si="4"/>
        <v>42932.891373000006</v>
      </c>
      <c r="J34" s="305">
        <v>18838.3296</v>
      </c>
      <c r="K34" s="305">
        <f>21377.664773+2491.487</f>
        <v>23869.151773</v>
      </c>
      <c r="L34" s="305"/>
      <c r="M34" s="305"/>
      <c r="N34" s="297">
        <f t="shared" si="6"/>
        <v>0</v>
      </c>
      <c r="O34" s="305"/>
      <c r="P34" s="305"/>
      <c r="Q34" s="297">
        <f t="shared" si="7"/>
        <v>225.41</v>
      </c>
      <c r="R34" s="306">
        <f>42.41+183</f>
        <v>225.41</v>
      </c>
      <c r="S34" s="306"/>
      <c r="T34" s="306"/>
      <c r="U34" s="299">
        <f t="shared" si="1"/>
        <v>1.9948374395037638</v>
      </c>
      <c r="V34" s="299">
        <f t="shared" si="2"/>
        <v>1.1090582554130657</v>
      </c>
      <c r="W34" s="307"/>
    </row>
    <row r="35" spans="1:23" s="308" customFormat="1" ht="24.75" customHeight="1">
      <c r="A35" s="293">
        <v>25</v>
      </c>
      <c r="B35" s="303" t="s">
        <v>266</v>
      </c>
      <c r="C35" s="295">
        <f t="shared" si="5"/>
        <v>13563</v>
      </c>
      <c r="D35" s="304"/>
      <c r="E35" s="296">
        <v>13563</v>
      </c>
      <c r="F35" s="304"/>
      <c r="G35" s="304"/>
      <c r="H35" s="305"/>
      <c r="I35" s="297">
        <f t="shared" si="4"/>
        <v>21245</v>
      </c>
      <c r="J35" s="305">
        <v>0</v>
      </c>
      <c r="K35" s="305">
        <f>16111+2000+45.7772</f>
        <v>18156.7772</v>
      </c>
      <c r="L35" s="305"/>
      <c r="M35" s="305"/>
      <c r="N35" s="297">
        <f t="shared" si="6"/>
        <v>0</v>
      </c>
      <c r="O35" s="305"/>
      <c r="P35" s="305"/>
      <c r="Q35" s="297">
        <f t="shared" si="7"/>
        <v>3088.2228</v>
      </c>
      <c r="R35" s="306">
        <f>3000+88.2228</f>
        <v>3088.2228</v>
      </c>
      <c r="S35" s="306"/>
      <c r="T35" s="306"/>
      <c r="U35" s="299">
        <f t="shared" si="1"/>
        <v>1.5663938656639387</v>
      </c>
      <c r="V35" s="299">
        <f t="shared" si="2"/>
        <v>1.338699196342992</v>
      </c>
      <c r="W35" s="307"/>
    </row>
    <row r="36" spans="1:23" s="308" customFormat="1" ht="24.75" customHeight="1">
      <c r="A36" s="293">
        <v>26</v>
      </c>
      <c r="B36" s="303" t="s">
        <v>402</v>
      </c>
      <c r="C36" s="295">
        <f t="shared" si="5"/>
        <v>8961</v>
      </c>
      <c r="D36" s="304"/>
      <c r="E36" s="296">
        <v>8961</v>
      </c>
      <c r="F36" s="304"/>
      <c r="G36" s="304"/>
      <c r="H36" s="305"/>
      <c r="I36" s="297">
        <f t="shared" si="4"/>
        <v>9283.597868</v>
      </c>
      <c r="J36" s="305">
        <v>200</v>
      </c>
      <c r="K36" s="305">
        <v>9076.627468</v>
      </c>
      <c r="L36" s="305"/>
      <c r="M36" s="305"/>
      <c r="N36" s="297">
        <f t="shared" si="6"/>
        <v>0</v>
      </c>
      <c r="O36" s="305"/>
      <c r="P36" s="305"/>
      <c r="Q36" s="297">
        <f t="shared" si="7"/>
        <v>6.9704</v>
      </c>
      <c r="R36" s="306">
        <v>6.9704</v>
      </c>
      <c r="S36" s="306"/>
      <c r="T36" s="306"/>
      <c r="U36" s="299">
        <f t="shared" si="1"/>
        <v>1.0360002084588775</v>
      </c>
      <c r="V36" s="299">
        <f t="shared" si="2"/>
        <v>1.0129034112264257</v>
      </c>
      <c r="W36" s="307"/>
    </row>
    <row r="37" spans="1:23" s="308" customFormat="1" ht="25.5" customHeight="1">
      <c r="A37" s="293">
        <v>27</v>
      </c>
      <c r="B37" s="303" t="s">
        <v>399</v>
      </c>
      <c r="C37" s="295">
        <f t="shared" si="5"/>
        <v>996</v>
      </c>
      <c r="D37" s="304"/>
      <c r="E37" s="296">
        <v>996</v>
      </c>
      <c r="F37" s="304"/>
      <c r="G37" s="304"/>
      <c r="H37" s="305"/>
      <c r="I37" s="297">
        <f t="shared" si="4"/>
        <v>939.406883</v>
      </c>
      <c r="J37" s="305">
        <v>0</v>
      </c>
      <c r="K37" s="305">
        <f>927.406883+12</f>
        <v>939.406883</v>
      </c>
      <c r="L37" s="305"/>
      <c r="M37" s="305"/>
      <c r="N37" s="297">
        <f t="shared" si="6"/>
        <v>0</v>
      </c>
      <c r="O37" s="305"/>
      <c r="P37" s="305"/>
      <c r="Q37" s="297">
        <f t="shared" si="7"/>
        <v>0</v>
      </c>
      <c r="R37" s="306"/>
      <c r="S37" s="306"/>
      <c r="T37" s="306"/>
      <c r="U37" s="299">
        <f t="shared" si="1"/>
        <v>0.9431796014056225</v>
      </c>
      <c r="V37" s="299">
        <f t="shared" si="2"/>
        <v>0.9431796014056225</v>
      </c>
      <c r="W37" s="307"/>
    </row>
    <row r="38" spans="1:23" s="308" customFormat="1" ht="24.75" customHeight="1">
      <c r="A38" s="293">
        <v>28</v>
      </c>
      <c r="B38" s="303" t="s">
        <v>392</v>
      </c>
      <c r="C38" s="295">
        <f t="shared" si="5"/>
        <v>4441</v>
      </c>
      <c r="D38" s="304"/>
      <c r="E38" s="296">
        <v>4441</v>
      </c>
      <c r="F38" s="304"/>
      <c r="G38" s="304"/>
      <c r="H38" s="305"/>
      <c r="I38" s="297">
        <f t="shared" si="4"/>
        <v>5544</v>
      </c>
      <c r="J38" s="305">
        <v>0</v>
      </c>
      <c r="K38" s="305">
        <f>5416+78</f>
        <v>5494</v>
      </c>
      <c r="L38" s="305"/>
      <c r="M38" s="305"/>
      <c r="N38" s="297">
        <f t="shared" si="6"/>
        <v>50</v>
      </c>
      <c r="O38" s="305"/>
      <c r="P38" s="305">
        <v>50</v>
      </c>
      <c r="Q38" s="297">
        <f t="shared" si="7"/>
        <v>0</v>
      </c>
      <c r="R38" s="306"/>
      <c r="S38" s="306"/>
      <c r="T38" s="306"/>
      <c r="U38" s="299">
        <f t="shared" si="1"/>
        <v>1.2483674848007205</v>
      </c>
      <c r="V38" s="299">
        <f t="shared" si="2"/>
        <v>1.2371087592884487</v>
      </c>
      <c r="W38" s="307"/>
    </row>
    <row r="39" spans="1:23" s="308" customFormat="1" ht="24.75" customHeight="1">
      <c r="A39" s="293">
        <v>29</v>
      </c>
      <c r="B39" s="303" t="s">
        <v>46</v>
      </c>
      <c r="C39" s="295">
        <f>SUM(D39:H39)</f>
        <v>4287</v>
      </c>
      <c r="D39" s="304"/>
      <c r="E39" s="296">
        <v>4287</v>
      </c>
      <c r="F39" s="304"/>
      <c r="G39" s="304"/>
      <c r="H39" s="305"/>
      <c r="I39" s="297">
        <f>SUM(J39:M39,N39,Q39)</f>
        <v>4613.6539999999995</v>
      </c>
      <c r="J39" s="305">
        <v>0</v>
      </c>
      <c r="K39" s="305">
        <f>4256.784+221+85</f>
        <v>4562.784</v>
      </c>
      <c r="L39" s="305"/>
      <c r="M39" s="305"/>
      <c r="N39" s="297">
        <f>SUM(O39:P39)</f>
        <v>50</v>
      </c>
      <c r="O39" s="305"/>
      <c r="P39" s="305">
        <v>50</v>
      </c>
      <c r="Q39" s="297">
        <f>SUM(R39:T39)</f>
        <v>0.87</v>
      </c>
      <c r="R39" s="306">
        <v>0.87</v>
      </c>
      <c r="S39" s="306"/>
      <c r="T39" s="306"/>
      <c r="U39" s="299">
        <f>I39/C39</f>
        <v>1.0761964077443433</v>
      </c>
      <c r="V39" s="299">
        <f>K39/E39</f>
        <v>1.064330300909727</v>
      </c>
      <c r="W39" s="307"/>
    </row>
    <row r="40" spans="1:23" s="308" customFormat="1" ht="24.75" customHeight="1">
      <c r="A40" s="293">
        <v>30</v>
      </c>
      <c r="B40" s="303" t="s">
        <v>261</v>
      </c>
      <c r="C40" s="295">
        <f>SUM(D40:H40)</f>
        <v>4725</v>
      </c>
      <c r="D40" s="304"/>
      <c r="E40" s="296">
        <v>4725</v>
      </c>
      <c r="F40" s="304"/>
      <c r="G40" s="304"/>
      <c r="H40" s="305"/>
      <c r="I40" s="297">
        <f>SUM(J40:M40,N40,Q40)</f>
        <v>5570.7127</v>
      </c>
      <c r="J40" s="305">
        <v>0</v>
      </c>
      <c r="K40" s="305">
        <f>5501.7127+69</f>
        <v>5570.7127</v>
      </c>
      <c r="L40" s="305"/>
      <c r="M40" s="305"/>
      <c r="N40" s="297">
        <f>SUM(O40:P40)</f>
        <v>0</v>
      </c>
      <c r="O40" s="305"/>
      <c r="P40" s="305"/>
      <c r="Q40" s="297">
        <f>SUM(R40:T40)</f>
        <v>0</v>
      </c>
      <c r="R40" s="306"/>
      <c r="S40" s="306"/>
      <c r="T40" s="306"/>
      <c r="U40" s="299">
        <f>I40/C40</f>
        <v>1.1789868148148148</v>
      </c>
      <c r="V40" s="299">
        <f>K40/E40</f>
        <v>1.1789868148148148</v>
      </c>
      <c r="W40" s="307"/>
    </row>
    <row r="41" spans="1:23" s="308" customFormat="1" ht="24.75" customHeight="1">
      <c r="A41" s="293">
        <v>31</v>
      </c>
      <c r="B41" s="303" t="s">
        <v>404</v>
      </c>
      <c r="C41" s="295">
        <f>SUM(D41:H41)</f>
        <v>7488</v>
      </c>
      <c r="D41" s="304"/>
      <c r="E41" s="296">
        <v>7488</v>
      </c>
      <c r="F41" s="304"/>
      <c r="G41" s="304"/>
      <c r="H41" s="305"/>
      <c r="I41" s="297">
        <f>SUM(J41:M41,N41,Q41)</f>
        <v>7861</v>
      </c>
      <c r="J41" s="305">
        <v>0</v>
      </c>
      <c r="K41" s="305">
        <f>7759+98.674803</f>
        <v>7857.674803</v>
      </c>
      <c r="L41" s="305"/>
      <c r="M41" s="305"/>
      <c r="N41" s="297">
        <f>SUM(O41:P41)</f>
        <v>0</v>
      </c>
      <c r="O41" s="305"/>
      <c r="P41" s="305"/>
      <c r="Q41" s="297">
        <f>SUM(R41:T41)</f>
        <v>3.325197</v>
      </c>
      <c r="R41" s="306">
        <v>3.325197</v>
      </c>
      <c r="S41" s="306"/>
      <c r="T41" s="306"/>
      <c r="U41" s="299">
        <f>I41/C41</f>
        <v>1.0498130341880343</v>
      </c>
      <c r="V41" s="299">
        <f>K41/E41</f>
        <v>1.0493689640758548</v>
      </c>
      <c r="W41" s="307"/>
    </row>
    <row r="42" spans="1:23" s="308" customFormat="1" ht="24.75" customHeight="1">
      <c r="A42" s="293">
        <v>32</v>
      </c>
      <c r="B42" s="303" t="s">
        <v>262</v>
      </c>
      <c r="C42" s="295">
        <f>SUM(D42:H42)</f>
        <v>2695</v>
      </c>
      <c r="D42" s="304"/>
      <c r="E42" s="296">
        <v>2695</v>
      </c>
      <c r="F42" s="304"/>
      <c r="G42" s="304"/>
      <c r="H42" s="305"/>
      <c r="I42" s="297">
        <f>SUM(J42:M42,N42,Q42)</f>
        <v>3985.96024</v>
      </c>
      <c r="J42" s="305">
        <v>0</v>
      </c>
      <c r="K42" s="305">
        <f>3943.911+42.04924</f>
        <v>3985.96024</v>
      </c>
      <c r="L42" s="305"/>
      <c r="M42" s="305"/>
      <c r="N42" s="297">
        <f>SUM(O42:P42)</f>
        <v>0</v>
      </c>
      <c r="O42" s="305"/>
      <c r="P42" s="305"/>
      <c r="Q42" s="297">
        <f>SUM(R42:T42)</f>
        <v>0</v>
      </c>
      <c r="R42" s="306"/>
      <c r="S42" s="306"/>
      <c r="T42" s="306"/>
      <c r="U42" s="299">
        <f>I42/C42</f>
        <v>1.4790204972170686</v>
      </c>
      <c r="V42" s="299">
        <f>K42/E42</f>
        <v>1.4790204972170686</v>
      </c>
      <c r="W42" s="307"/>
    </row>
    <row r="43" spans="1:23" s="308" customFormat="1" ht="24.75" customHeight="1">
      <c r="A43" s="293">
        <v>33</v>
      </c>
      <c r="B43" s="303" t="s">
        <v>79</v>
      </c>
      <c r="C43" s="295">
        <f t="shared" si="5"/>
        <v>1000</v>
      </c>
      <c r="D43" s="304"/>
      <c r="E43" s="296"/>
      <c r="F43" s="304"/>
      <c r="G43" s="304">
        <v>1000</v>
      </c>
      <c r="H43" s="305"/>
      <c r="I43" s="297">
        <f t="shared" si="4"/>
        <v>1000</v>
      </c>
      <c r="J43" s="305">
        <v>0</v>
      </c>
      <c r="K43" s="305"/>
      <c r="L43" s="305"/>
      <c r="M43" s="305">
        <v>1000</v>
      </c>
      <c r="N43" s="297">
        <f t="shared" si="6"/>
        <v>0</v>
      </c>
      <c r="O43" s="305"/>
      <c r="P43" s="305"/>
      <c r="Q43" s="297">
        <f t="shared" si="7"/>
        <v>0</v>
      </c>
      <c r="R43" s="306"/>
      <c r="S43" s="306"/>
      <c r="T43" s="306"/>
      <c r="U43" s="299"/>
      <c r="V43" s="299"/>
      <c r="W43" s="307"/>
    </row>
    <row r="44" spans="1:23" s="308" customFormat="1" ht="24.75" customHeight="1">
      <c r="A44" s="293">
        <v>34</v>
      </c>
      <c r="B44" s="303" t="s">
        <v>265</v>
      </c>
      <c r="C44" s="295">
        <f t="shared" si="5"/>
        <v>500</v>
      </c>
      <c r="D44" s="304"/>
      <c r="E44" s="296">
        <v>500</v>
      </c>
      <c r="F44" s="304"/>
      <c r="G44" s="304"/>
      <c r="H44" s="305"/>
      <c r="I44" s="297">
        <f t="shared" si="4"/>
        <v>409.677</v>
      </c>
      <c r="J44" s="305">
        <v>0</v>
      </c>
      <c r="K44" s="305">
        <v>409.677</v>
      </c>
      <c r="L44" s="305"/>
      <c r="M44" s="305"/>
      <c r="N44" s="297">
        <f t="shared" si="6"/>
        <v>0</v>
      </c>
      <c r="O44" s="305"/>
      <c r="P44" s="305"/>
      <c r="Q44" s="297">
        <f t="shared" si="7"/>
        <v>0</v>
      </c>
      <c r="R44" s="306"/>
      <c r="S44" s="306"/>
      <c r="T44" s="306"/>
      <c r="U44" s="299">
        <f aca="true" t="shared" si="8" ref="U44:U50">I44/C44</f>
        <v>0.819354</v>
      </c>
      <c r="V44" s="299">
        <f aca="true" t="shared" si="9" ref="V44:V53">K44/E44</f>
        <v>0.819354</v>
      </c>
      <c r="W44" s="307"/>
    </row>
    <row r="45" spans="1:23" s="308" customFormat="1" ht="24.75" customHeight="1">
      <c r="A45" s="293">
        <v>35</v>
      </c>
      <c r="B45" s="303" t="s">
        <v>411</v>
      </c>
      <c r="C45" s="295">
        <f t="shared" si="5"/>
        <v>77</v>
      </c>
      <c r="D45" s="304"/>
      <c r="E45" s="296">
        <v>77</v>
      </c>
      <c r="F45" s="304"/>
      <c r="G45" s="304"/>
      <c r="H45" s="305"/>
      <c r="I45" s="297">
        <f t="shared" si="4"/>
        <v>79</v>
      </c>
      <c r="J45" s="305">
        <v>0</v>
      </c>
      <c r="K45" s="305">
        <v>79</v>
      </c>
      <c r="L45" s="305"/>
      <c r="M45" s="305"/>
      <c r="N45" s="297">
        <f t="shared" si="6"/>
        <v>0</v>
      </c>
      <c r="O45" s="305"/>
      <c r="P45" s="305"/>
      <c r="Q45" s="297">
        <f t="shared" si="7"/>
        <v>0</v>
      </c>
      <c r="R45" s="306"/>
      <c r="S45" s="306"/>
      <c r="T45" s="306"/>
      <c r="U45" s="299">
        <f t="shared" si="8"/>
        <v>1.025974025974026</v>
      </c>
      <c r="V45" s="299">
        <f t="shared" si="9"/>
        <v>1.025974025974026</v>
      </c>
      <c r="W45" s="307"/>
    </row>
    <row r="46" spans="1:23" s="308" customFormat="1" ht="24.75" customHeight="1">
      <c r="A46" s="293">
        <v>36</v>
      </c>
      <c r="B46" s="303" t="s">
        <v>45</v>
      </c>
      <c r="C46" s="295">
        <f t="shared" si="5"/>
        <v>11161</v>
      </c>
      <c r="D46" s="304">
        <v>10975</v>
      </c>
      <c r="E46" s="296">
        <v>186</v>
      </c>
      <c r="F46" s="304"/>
      <c r="G46" s="304"/>
      <c r="H46" s="305"/>
      <c r="I46" s="297">
        <f t="shared" si="4"/>
        <v>11185</v>
      </c>
      <c r="J46" s="305">
        <v>10975</v>
      </c>
      <c r="K46" s="305">
        <f>190+20</f>
        <v>210</v>
      </c>
      <c r="L46" s="305"/>
      <c r="M46" s="305"/>
      <c r="N46" s="297">
        <f t="shared" si="6"/>
        <v>0</v>
      </c>
      <c r="O46" s="305"/>
      <c r="P46" s="305"/>
      <c r="Q46" s="297">
        <f t="shared" si="7"/>
        <v>0</v>
      </c>
      <c r="R46" s="306"/>
      <c r="S46" s="306"/>
      <c r="T46" s="306"/>
      <c r="U46" s="299">
        <f t="shared" si="8"/>
        <v>1.0021503449511693</v>
      </c>
      <c r="V46" s="299">
        <f t="shared" si="9"/>
        <v>1.1290322580645162</v>
      </c>
      <c r="W46" s="307"/>
    </row>
    <row r="47" spans="1:23" s="308" customFormat="1" ht="24.75" customHeight="1">
      <c r="A47" s="293">
        <v>37</v>
      </c>
      <c r="B47" s="303" t="s">
        <v>406</v>
      </c>
      <c r="C47" s="295">
        <f t="shared" si="5"/>
        <v>100</v>
      </c>
      <c r="D47" s="304"/>
      <c r="E47" s="296">
        <v>100</v>
      </c>
      <c r="F47" s="304"/>
      <c r="G47" s="304"/>
      <c r="H47" s="305"/>
      <c r="I47" s="297">
        <f t="shared" si="4"/>
        <v>100</v>
      </c>
      <c r="J47" s="305">
        <v>0</v>
      </c>
      <c r="K47" s="305">
        <v>100</v>
      </c>
      <c r="L47" s="305"/>
      <c r="M47" s="305"/>
      <c r="N47" s="297">
        <f t="shared" si="6"/>
        <v>0</v>
      </c>
      <c r="O47" s="305"/>
      <c r="P47" s="305"/>
      <c r="Q47" s="297">
        <f t="shared" si="7"/>
        <v>0</v>
      </c>
      <c r="R47" s="306"/>
      <c r="S47" s="306"/>
      <c r="T47" s="306"/>
      <c r="U47" s="299">
        <f t="shared" si="8"/>
        <v>1</v>
      </c>
      <c r="V47" s="299">
        <f t="shared" si="9"/>
        <v>1</v>
      </c>
      <c r="W47" s="307"/>
    </row>
    <row r="48" spans="1:23" s="308" customFormat="1" ht="24.75" customHeight="1">
      <c r="A48" s="293">
        <v>38</v>
      </c>
      <c r="B48" s="303" t="s">
        <v>407</v>
      </c>
      <c r="C48" s="295">
        <f t="shared" si="5"/>
        <v>200</v>
      </c>
      <c r="D48" s="304"/>
      <c r="E48" s="296">
        <v>200</v>
      </c>
      <c r="F48" s="304"/>
      <c r="G48" s="304"/>
      <c r="H48" s="305"/>
      <c r="I48" s="297">
        <f t="shared" si="4"/>
        <v>200</v>
      </c>
      <c r="J48" s="305">
        <v>0</v>
      </c>
      <c r="K48" s="305">
        <v>200</v>
      </c>
      <c r="L48" s="305"/>
      <c r="M48" s="305"/>
      <c r="N48" s="297">
        <f t="shared" si="6"/>
        <v>0</v>
      </c>
      <c r="O48" s="305"/>
      <c r="P48" s="305"/>
      <c r="Q48" s="297">
        <f t="shared" si="7"/>
        <v>0</v>
      </c>
      <c r="R48" s="306"/>
      <c r="S48" s="306"/>
      <c r="T48" s="306"/>
      <c r="U48" s="299">
        <f t="shared" si="8"/>
        <v>1</v>
      </c>
      <c r="V48" s="299">
        <f t="shared" si="9"/>
        <v>1</v>
      </c>
      <c r="W48" s="307"/>
    </row>
    <row r="49" spans="1:23" s="308" customFormat="1" ht="24.75" customHeight="1">
      <c r="A49" s="293">
        <v>39</v>
      </c>
      <c r="B49" s="303" t="s">
        <v>408</v>
      </c>
      <c r="C49" s="295">
        <f t="shared" si="5"/>
        <v>100</v>
      </c>
      <c r="D49" s="304"/>
      <c r="E49" s="296">
        <v>100</v>
      </c>
      <c r="F49" s="304"/>
      <c r="G49" s="304"/>
      <c r="H49" s="305"/>
      <c r="I49" s="297">
        <f t="shared" si="4"/>
        <v>100</v>
      </c>
      <c r="J49" s="305">
        <v>0</v>
      </c>
      <c r="K49" s="305">
        <v>100</v>
      </c>
      <c r="L49" s="305"/>
      <c r="M49" s="305"/>
      <c r="N49" s="297">
        <f t="shared" si="6"/>
        <v>0</v>
      </c>
      <c r="O49" s="305"/>
      <c r="P49" s="305"/>
      <c r="Q49" s="297">
        <f t="shared" si="7"/>
        <v>0</v>
      </c>
      <c r="R49" s="306"/>
      <c r="S49" s="306"/>
      <c r="T49" s="306"/>
      <c r="U49" s="299">
        <f t="shared" si="8"/>
        <v>1</v>
      </c>
      <c r="V49" s="299">
        <f t="shared" si="9"/>
        <v>1</v>
      </c>
      <c r="W49" s="307"/>
    </row>
    <row r="50" spans="1:23" s="308" customFormat="1" ht="24.75" customHeight="1">
      <c r="A50" s="293">
        <v>40</v>
      </c>
      <c r="B50" s="303" t="s">
        <v>409</v>
      </c>
      <c r="C50" s="295">
        <f t="shared" si="5"/>
        <v>100</v>
      </c>
      <c r="D50" s="304"/>
      <c r="E50" s="296">
        <v>100</v>
      </c>
      <c r="F50" s="304"/>
      <c r="G50" s="304"/>
      <c r="H50" s="305"/>
      <c r="I50" s="297">
        <f t="shared" si="4"/>
        <v>100</v>
      </c>
      <c r="J50" s="305">
        <v>0</v>
      </c>
      <c r="K50" s="305">
        <v>100</v>
      </c>
      <c r="L50" s="305"/>
      <c r="M50" s="305"/>
      <c r="N50" s="297">
        <f t="shared" si="6"/>
        <v>0</v>
      </c>
      <c r="O50" s="305"/>
      <c r="P50" s="305"/>
      <c r="Q50" s="297">
        <f t="shared" si="7"/>
        <v>0</v>
      </c>
      <c r="R50" s="306"/>
      <c r="S50" s="306"/>
      <c r="T50" s="306"/>
      <c r="U50" s="299">
        <f t="shared" si="8"/>
        <v>1</v>
      </c>
      <c r="V50" s="299">
        <f t="shared" si="9"/>
        <v>1</v>
      </c>
      <c r="W50" s="307"/>
    </row>
    <row r="51" spans="1:23" s="308" customFormat="1" ht="24.75" customHeight="1">
      <c r="A51" s="293">
        <v>41</v>
      </c>
      <c r="B51" s="303" t="s">
        <v>268</v>
      </c>
      <c r="C51" s="295">
        <f t="shared" si="5"/>
        <v>10970</v>
      </c>
      <c r="D51" s="304"/>
      <c r="E51" s="296">
        <v>10970</v>
      </c>
      <c r="F51" s="304"/>
      <c r="G51" s="304"/>
      <c r="H51" s="305"/>
      <c r="I51" s="297">
        <f t="shared" si="4"/>
        <v>26491.958443</v>
      </c>
      <c r="J51" s="305">
        <v>3871.948481</v>
      </c>
      <c r="K51" s="305">
        <f>16430.444+1629.515962</f>
        <v>18059.959962</v>
      </c>
      <c r="L51" s="305"/>
      <c r="M51" s="305"/>
      <c r="N51" s="297">
        <f t="shared" si="6"/>
        <v>0</v>
      </c>
      <c r="O51" s="305"/>
      <c r="P51" s="305"/>
      <c r="Q51" s="297">
        <f t="shared" si="7"/>
        <v>4560.05</v>
      </c>
      <c r="R51" s="306"/>
      <c r="S51" s="306"/>
      <c r="T51" s="306">
        <v>4560.05</v>
      </c>
      <c r="U51" s="299"/>
      <c r="V51" s="299">
        <f t="shared" si="9"/>
        <v>1.6463044632634458</v>
      </c>
      <c r="W51" s="307"/>
    </row>
    <row r="52" spans="1:23" s="308" customFormat="1" ht="24.75" customHeight="1">
      <c r="A52" s="293">
        <v>42</v>
      </c>
      <c r="B52" s="303" t="s">
        <v>400</v>
      </c>
      <c r="C52" s="295">
        <f>SUM(D52:H52)</f>
        <v>36780</v>
      </c>
      <c r="D52" s="304"/>
      <c r="E52" s="296">
        <v>36780</v>
      </c>
      <c r="F52" s="304"/>
      <c r="G52" s="304"/>
      <c r="H52" s="305"/>
      <c r="I52" s="297">
        <f>SUM(J52:M52,N52,Q52)</f>
        <v>67013.791</v>
      </c>
      <c r="J52" s="305">
        <v>2673.664</v>
      </c>
      <c r="K52" s="305">
        <f>59741+1853.187</f>
        <v>61594.187</v>
      </c>
      <c r="L52" s="305"/>
      <c r="M52" s="305"/>
      <c r="N52" s="297">
        <f>SUM(O52:P52)</f>
        <v>0</v>
      </c>
      <c r="O52" s="305"/>
      <c r="P52" s="305"/>
      <c r="Q52" s="297">
        <f>SUM(R52:T52)</f>
        <v>2745.94</v>
      </c>
      <c r="R52" s="306"/>
      <c r="S52" s="306"/>
      <c r="T52" s="306">
        <v>2745.94</v>
      </c>
      <c r="U52" s="299">
        <f>I52/C52</f>
        <v>1.8220171560630778</v>
      </c>
      <c r="V52" s="299">
        <f>K52/E52</f>
        <v>1.6746652256661227</v>
      </c>
      <c r="W52" s="307"/>
    </row>
    <row r="53" spans="1:23" s="308" customFormat="1" ht="24.75" customHeight="1">
      <c r="A53" s="293">
        <v>43</v>
      </c>
      <c r="B53" s="303" t="s">
        <v>279</v>
      </c>
      <c r="C53" s="295">
        <f t="shared" si="5"/>
        <v>11825</v>
      </c>
      <c r="D53" s="304"/>
      <c r="E53" s="296">
        <v>11825</v>
      </c>
      <c r="F53" s="304"/>
      <c r="G53" s="304"/>
      <c r="H53" s="305"/>
      <c r="I53" s="297">
        <f t="shared" si="4"/>
        <v>53338.355427999995</v>
      </c>
      <c r="J53" s="305">
        <v>38680.767428</v>
      </c>
      <c r="K53" s="305">
        <f>9395+4369.096</f>
        <v>13764.096</v>
      </c>
      <c r="L53" s="305"/>
      <c r="M53" s="305"/>
      <c r="N53" s="297">
        <f t="shared" si="6"/>
        <v>0</v>
      </c>
      <c r="O53" s="305"/>
      <c r="P53" s="305"/>
      <c r="Q53" s="297">
        <f t="shared" si="7"/>
        <v>893.492</v>
      </c>
      <c r="R53" s="306"/>
      <c r="S53" s="306">
        <v>394.2</v>
      </c>
      <c r="T53" s="306">
        <v>499.292</v>
      </c>
      <c r="U53" s="299"/>
      <c r="V53" s="299">
        <f t="shared" si="9"/>
        <v>1.1639827484143763</v>
      </c>
      <c r="W53" s="307"/>
    </row>
    <row r="54" spans="1:23" s="308" customFormat="1" ht="24.75" customHeight="1">
      <c r="A54" s="293">
        <v>44</v>
      </c>
      <c r="B54" s="303" t="s">
        <v>267</v>
      </c>
      <c r="C54" s="295">
        <f t="shared" si="5"/>
        <v>0</v>
      </c>
      <c r="D54" s="304"/>
      <c r="E54" s="296"/>
      <c r="F54" s="304"/>
      <c r="G54" s="304"/>
      <c r="H54" s="305"/>
      <c r="I54" s="297">
        <f t="shared" si="4"/>
        <v>4145.943</v>
      </c>
      <c r="J54" s="305">
        <v>721.806</v>
      </c>
      <c r="K54" s="305">
        <v>732.697</v>
      </c>
      <c r="L54" s="305"/>
      <c r="M54" s="305"/>
      <c r="N54" s="297">
        <f t="shared" si="6"/>
        <v>0</v>
      </c>
      <c r="O54" s="305"/>
      <c r="P54" s="305"/>
      <c r="Q54" s="297">
        <f t="shared" si="7"/>
        <v>2691.44</v>
      </c>
      <c r="R54" s="306"/>
      <c r="S54" s="306">
        <v>791.44</v>
      </c>
      <c r="T54" s="306">
        <v>1900</v>
      </c>
      <c r="U54" s="299"/>
      <c r="V54" s="299"/>
      <c r="W54" s="307"/>
    </row>
    <row r="55" spans="1:23" s="308" customFormat="1" ht="24.75" customHeight="1">
      <c r="A55" s="293">
        <v>45</v>
      </c>
      <c r="B55" s="303" t="s">
        <v>414</v>
      </c>
      <c r="C55" s="295">
        <f>SUM(D55:H55)</f>
        <v>0</v>
      </c>
      <c r="D55" s="304"/>
      <c r="E55" s="296"/>
      <c r="F55" s="304"/>
      <c r="G55" s="304"/>
      <c r="H55" s="305"/>
      <c r="I55" s="297">
        <f>SUM(J55:M55,N55,Q55)</f>
        <v>310913.43</v>
      </c>
      <c r="J55" s="305">
        <v>0</v>
      </c>
      <c r="K55" s="305">
        <v>310913.43</v>
      </c>
      <c r="L55" s="305"/>
      <c r="M55" s="305"/>
      <c r="N55" s="297">
        <f>SUM(O55:P55)</f>
        <v>0</v>
      </c>
      <c r="O55" s="305"/>
      <c r="P55" s="305"/>
      <c r="Q55" s="297">
        <f>SUM(R55:T55)</f>
        <v>0</v>
      </c>
      <c r="R55" s="306"/>
      <c r="S55" s="306"/>
      <c r="T55" s="306"/>
      <c r="U55" s="299"/>
      <c r="V55" s="299"/>
      <c r="W55" s="307"/>
    </row>
    <row r="56" spans="1:23" s="308" customFormat="1" ht="24.75" customHeight="1">
      <c r="A56" s="293">
        <v>46</v>
      </c>
      <c r="B56" s="303" t="s">
        <v>74</v>
      </c>
      <c r="C56" s="295">
        <f t="shared" si="5"/>
        <v>0</v>
      </c>
      <c r="D56" s="304"/>
      <c r="E56" s="296"/>
      <c r="F56" s="304"/>
      <c r="G56" s="304"/>
      <c r="H56" s="305"/>
      <c r="I56" s="297">
        <f t="shared" si="4"/>
        <v>2000</v>
      </c>
      <c r="J56" s="305">
        <v>2000</v>
      </c>
      <c r="K56" s="305"/>
      <c r="L56" s="305"/>
      <c r="M56" s="305"/>
      <c r="N56" s="297">
        <f t="shared" si="6"/>
        <v>0</v>
      </c>
      <c r="O56" s="305"/>
      <c r="P56" s="305"/>
      <c r="Q56" s="297">
        <f t="shared" si="7"/>
        <v>0</v>
      </c>
      <c r="R56" s="306"/>
      <c r="S56" s="306"/>
      <c r="T56" s="306"/>
      <c r="U56" s="299"/>
      <c r="V56" s="299"/>
      <c r="W56" s="307"/>
    </row>
    <row r="57" spans="1:23" s="308" customFormat="1" ht="24.75" customHeight="1">
      <c r="A57" s="293">
        <v>47</v>
      </c>
      <c r="B57" s="303" t="s">
        <v>82</v>
      </c>
      <c r="C57" s="295">
        <f t="shared" si="5"/>
        <v>5578</v>
      </c>
      <c r="D57" s="304">
        <v>2789</v>
      </c>
      <c r="E57" s="296"/>
      <c r="F57" s="304">
        <v>2789</v>
      </c>
      <c r="G57" s="304"/>
      <c r="H57" s="305"/>
      <c r="I57" s="297">
        <f t="shared" si="4"/>
        <v>492.461956</v>
      </c>
      <c r="J57" s="305">
        <v>0</v>
      </c>
      <c r="K57" s="305"/>
      <c r="L57" s="305">
        <v>492.461956</v>
      </c>
      <c r="M57" s="305"/>
      <c r="N57" s="297"/>
      <c r="O57" s="305"/>
      <c r="P57" s="305"/>
      <c r="Q57" s="297">
        <f t="shared" si="7"/>
        <v>0</v>
      </c>
      <c r="R57" s="306"/>
      <c r="S57" s="306"/>
      <c r="T57" s="306"/>
      <c r="U57" s="299"/>
      <c r="V57" s="299"/>
      <c r="W57" s="307"/>
    </row>
    <row r="58" spans="1:23" s="308" customFormat="1" ht="24.75" customHeight="1">
      <c r="A58" s="293">
        <v>48</v>
      </c>
      <c r="B58" s="303" t="s">
        <v>56</v>
      </c>
      <c r="C58" s="295">
        <f t="shared" si="5"/>
        <v>2056</v>
      </c>
      <c r="D58" s="304">
        <v>1028</v>
      </c>
      <c r="E58" s="296"/>
      <c r="F58" s="304">
        <v>1028</v>
      </c>
      <c r="G58" s="304"/>
      <c r="H58" s="305"/>
      <c r="I58" s="297">
        <f t="shared" si="4"/>
        <v>1188.765667</v>
      </c>
      <c r="J58" s="305"/>
      <c r="K58" s="305"/>
      <c r="L58" s="305">
        <f>231.000667+957.765</f>
        <v>1188.765667</v>
      </c>
      <c r="M58" s="305"/>
      <c r="N58" s="297"/>
      <c r="O58" s="305"/>
      <c r="P58" s="305"/>
      <c r="Q58" s="297">
        <f t="shared" si="7"/>
        <v>0</v>
      </c>
      <c r="R58" s="306"/>
      <c r="S58" s="306"/>
      <c r="T58" s="306"/>
      <c r="U58" s="299"/>
      <c r="V58" s="299"/>
      <c r="W58" s="307"/>
    </row>
    <row r="59" spans="1:23" s="308" customFormat="1" ht="24.75" customHeight="1">
      <c r="A59" s="293">
        <v>49</v>
      </c>
      <c r="B59" s="303" t="s">
        <v>75</v>
      </c>
      <c r="C59" s="295">
        <f>SUM(D59:H59)</f>
        <v>0</v>
      </c>
      <c r="D59" s="304"/>
      <c r="E59" s="296"/>
      <c r="F59" s="304"/>
      <c r="G59" s="304"/>
      <c r="H59" s="305"/>
      <c r="I59" s="297">
        <f t="shared" si="4"/>
        <v>3941.905677</v>
      </c>
      <c r="J59" s="305">
        <v>0</v>
      </c>
      <c r="K59" s="305">
        <v>3941.905677</v>
      </c>
      <c r="L59" s="305"/>
      <c r="M59" s="305"/>
      <c r="N59" s="297">
        <f>SUM(O59:P59)</f>
        <v>0</v>
      </c>
      <c r="O59" s="305"/>
      <c r="P59" s="305"/>
      <c r="Q59" s="297">
        <f t="shared" si="7"/>
        <v>0</v>
      </c>
      <c r="R59" s="306"/>
      <c r="S59" s="306"/>
      <c r="T59" s="306"/>
      <c r="U59" s="299"/>
      <c r="V59" s="299"/>
      <c r="W59" s="307"/>
    </row>
    <row r="60" spans="1:23" s="308" customFormat="1" ht="24.75" customHeight="1">
      <c r="A60" s="293">
        <v>50</v>
      </c>
      <c r="B60" s="303" t="s">
        <v>78</v>
      </c>
      <c r="C60" s="295">
        <f>SUM(D60:H60)</f>
        <v>0</v>
      </c>
      <c r="D60" s="304"/>
      <c r="E60" s="296"/>
      <c r="F60" s="304"/>
      <c r="G60" s="304"/>
      <c r="H60" s="305"/>
      <c r="I60" s="297">
        <f t="shared" si="4"/>
        <v>3807.002325</v>
      </c>
      <c r="J60" s="305">
        <v>3807.002325</v>
      </c>
      <c r="K60" s="305"/>
      <c r="L60" s="305"/>
      <c r="M60" s="305"/>
      <c r="N60" s="297"/>
      <c r="O60" s="305"/>
      <c r="P60" s="305"/>
      <c r="Q60" s="297">
        <f t="shared" si="7"/>
        <v>0</v>
      </c>
      <c r="R60" s="306"/>
      <c r="S60" s="306"/>
      <c r="T60" s="306"/>
      <c r="U60" s="299"/>
      <c r="V60" s="299"/>
      <c r="W60" s="307"/>
    </row>
    <row r="61" spans="1:23" s="308" customFormat="1" ht="24.75" customHeight="1">
      <c r="A61" s="293">
        <v>51</v>
      </c>
      <c r="B61" s="138" t="s">
        <v>85</v>
      </c>
      <c r="C61" s="295">
        <f>SUM(D61:H61)</f>
        <v>0</v>
      </c>
      <c r="D61" s="304"/>
      <c r="E61" s="296"/>
      <c r="F61" s="304"/>
      <c r="G61" s="304"/>
      <c r="H61" s="305"/>
      <c r="I61" s="297">
        <f t="shared" si="4"/>
        <v>21712.889881000003</v>
      </c>
      <c r="J61" s="305">
        <v>21686.829881</v>
      </c>
      <c r="K61" s="305"/>
      <c r="L61" s="305"/>
      <c r="M61" s="305"/>
      <c r="N61" s="297"/>
      <c r="O61" s="305"/>
      <c r="P61" s="305"/>
      <c r="Q61" s="297">
        <f t="shared" si="7"/>
        <v>26.06</v>
      </c>
      <c r="R61" s="306"/>
      <c r="S61" s="306"/>
      <c r="T61" s="306">
        <v>26.06</v>
      </c>
      <c r="U61" s="299"/>
      <c r="V61" s="299"/>
      <c r="W61" s="307"/>
    </row>
    <row r="62" spans="1:23" s="308" customFormat="1" ht="24.75" customHeight="1">
      <c r="A62" s="293">
        <v>52</v>
      </c>
      <c r="B62" s="310" t="s">
        <v>87</v>
      </c>
      <c r="C62" s="295">
        <f aca="true" t="shared" si="10" ref="C62:C72">SUM(D62:H62)</f>
        <v>0</v>
      </c>
      <c r="D62" s="304"/>
      <c r="E62" s="296"/>
      <c r="F62" s="304"/>
      <c r="G62" s="304"/>
      <c r="H62" s="305"/>
      <c r="I62" s="297">
        <f t="shared" si="4"/>
        <v>57142.28752</v>
      </c>
      <c r="J62" s="305">
        <v>56511.72752</v>
      </c>
      <c r="K62" s="305"/>
      <c r="L62" s="305"/>
      <c r="M62" s="305"/>
      <c r="N62" s="297"/>
      <c r="O62" s="305"/>
      <c r="P62" s="305"/>
      <c r="Q62" s="297">
        <f t="shared" si="7"/>
        <v>630.56</v>
      </c>
      <c r="R62" s="306"/>
      <c r="S62" s="306"/>
      <c r="T62" s="306">
        <v>630.56</v>
      </c>
      <c r="U62" s="299"/>
      <c r="V62" s="299"/>
      <c r="W62" s="307"/>
    </row>
    <row r="63" spans="1:23" s="308" customFormat="1" ht="24.75" customHeight="1">
      <c r="A63" s="293">
        <v>53</v>
      </c>
      <c r="B63" s="310" t="s">
        <v>88</v>
      </c>
      <c r="C63" s="295">
        <f t="shared" si="10"/>
        <v>0</v>
      </c>
      <c r="D63" s="304"/>
      <c r="E63" s="296"/>
      <c r="F63" s="304"/>
      <c r="G63" s="304"/>
      <c r="H63" s="305"/>
      <c r="I63" s="297">
        <f t="shared" si="4"/>
        <v>129428.397707</v>
      </c>
      <c r="J63" s="305">
        <v>89716.118707</v>
      </c>
      <c r="K63" s="305"/>
      <c r="L63" s="305"/>
      <c r="M63" s="305"/>
      <c r="N63" s="297"/>
      <c r="O63" s="305"/>
      <c r="P63" s="305"/>
      <c r="Q63" s="297">
        <f t="shared" si="7"/>
        <v>39712.279</v>
      </c>
      <c r="R63" s="306"/>
      <c r="S63" s="306"/>
      <c r="T63" s="306">
        <v>39712.279</v>
      </c>
      <c r="U63" s="299"/>
      <c r="V63" s="299"/>
      <c r="W63" s="307"/>
    </row>
    <row r="64" spans="1:23" s="308" customFormat="1" ht="24.75" customHeight="1">
      <c r="A64" s="293">
        <v>54</v>
      </c>
      <c r="B64" s="310" t="s">
        <v>89</v>
      </c>
      <c r="C64" s="295">
        <f t="shared" si="10"/>
        <v>0</v>
      </c>
      <c r="D64" s="304"/>
      <c r="E64" s="296"/>
      <c r="F64" s="304"/>
      <c r="G64" s="304"/>
      <c r="H64" s="305"/>
      <c r="I64" s="297">
        <f t="shared" si="4"/>
        <v>86667.712153</v>
      </c>
      <c r="J64" s="305">
        <v>80179.422884</v>
      </c>
      <c r="K64" s="305">
        <v>3943.447218</v>
      </c>
      <c r="L64" s="305"/>
      <c r="M64" s="305"/>
      <c r="N64" s="297"/>
      <c r="O64" s="305"/>
      <c r="P64" s="305"/>
      <c r="Q64" s="297">
        <f t="shared" si="7"/>
        <v>2544.842051</v>
      </c>
      <c r="R64" s="306"/>
      <c r="S64" s="306"/>
      <c r="T64" s="306">
        <v>2544.842051</v>
      </c>
      <c r="U64" s="299"/>
      <c r="V64" s="299"/>
      <c r="W64" s="307"/>
    </row>
    <row r="65" spans="1:23" s="308" customFormat="1" ht="24.75" customHeight="1">
      <c r="A65" s="293">
        <v>55</v>
      </c>
      <c r="B65" s="58" t="s">
        <v>90</v>
      </c>
      <c r="C65" s="295">
        <f t="shared" si="10"/>
        <v>0</v>
      </c>
      <c r="D65" s="304"/>
      <c r="E65" s="296"/>
      <c r="F65" s="304"/>
      <c r="G65" s="304"/>
      <c r="H65" s="305"/>
      <c r="I65" s="297">
        <f t="shared" si="4"/>
        <v>231.8819</v>
      </c>
      <c r="J65" s="305">
        <v>231.8819</v>
      </c>
      <c r="K65" s="305"/>
      <c r="L65" s="305"/>
      <c r="M65" s="305"/>
      <c r="N65" s="297"/>
      <c r="O65" s="305"/>
      <c r="P65" s="305"/>
      <c r="Q65" s="297">
        <f t="shared" si="7"/>
        <v>0</v>
      </c>
      <c r="R65" s="306"/>
      <c r="S65" s="306"/>
      <c r="T65" s="306"/>
      <c r="U65" s="299"/>
      <c r="V65" s="299"/>
      <c r="W65" s="307"/>
    </row>
    <row r="66" spans="1:23" s="308" customFormat="1" ht="24.75" customHeight="1">
      <c r="A66" s="293">
        <v>56</v>
      </c>
      <c r="B66" s="303" t="s">
        <v>91</v>
      </c>
      <c r="C66" s="295">
        <f t="shared" si="10"/>
        <v>0</v>
      </c>
      <c r="D66" s="304"/>
      <c r="E66" s="296"/>
      <c r="F66" s="304"/>
      <c r="G66" s="304"/>
      <c r="H66" s="305"/>
      <c r="I66" s="297">
        <f t="shared" si="4"/>
        <v>2480.000364</v>
      </c>
      <c r="J66" s="305">
        <v>814.430364</v>
      </c>
      <c r="K66" s="305"/>
      <c r="L66" s="305"/>
      <c r="M66" s="305"/>
      <c r="N66" s="297"/>
      <c r="O66" s="305"/>
      <c r="P66" s="305"/>
      <c r="Q66" s="297">
        <f t="shared" si="7"/>
        <v>1665.57</v>
      </c>
      <c r="R66" s="306"/>
      <c r="S66" s="306"/>
      <c r="T66" s="306">
        <v>1665.57</v>
      </c>
      <c r="U66" s="299"/>
      <c r="V66" s="299"/>
      <c r="W66" s="307"/>
    </row>
    <row r="67" spans="1:23" s="308" customFormat="1" ht="24.75" customHeight="1">
      <c r="A67" s="293">
        <v>57</v>
      </c>
      <c r="B67" s="311" t="s">
        <v>97</v>
      </c>
      <c r="C67" s="295">
        <f t="shared" si="10"/>
        <v>0</v>
      </c>
      <c r="D67" s="304"/>
      <c r="E67" s="296"/>
      <c r="F67" s="304"/>
      <c r="G67" s="304"/>
      <c r="H67" s="305"/>
      <c r="I67" s="297">
        <f t="shared" si="4"/>
        <v>795.469941</v>
      </c>
      <c r="J67" s="305">
        <v>795.469941</v>
      </c>
      <c r="K67" s="305"/>
      <c r="L67" s="305"/>
      <c r="M67" s="305"/>
      <c r="N67" s="297"/>
      <c r="O67" s="305"/>
      <c r="P67" s="305"/>
      <c r="Q67" s="297">
        <f t="shared" si="7"/>
        <v>0</v>
      </c>
      <c r="R67" s="306"/>
      <c r="S67" s="306"/>
      <c r="T67" s="306"/>
      <c r="U67" s="299"/>
      <c r="V67" s="299"/>
      <c r="W67" s="307"/>
    </row>
    <row r="68" spans="1:23" s="308" customFormat="1" ht="24.75" customHeight="1">
      <c r="A68" s="293">
        <v>58</v>
      </c>
      <c r="B68" s="311" t="s">
        <v>92</v>
      </c>
      <c r="C68" s="295">
        <f t="shared" si="10"/>
        <v>0</v>
      </c>
      <c r="D68" s="304"/>
      <c r="E68" s="296"/>
      <c r="F68" s="304"/>
      <c r="G68" s="304"/>
      <c r="H68" s="305"/>
      <c r="I68" s="297">
        <f t="shared" si="4"/>
        <v>2755.76005</v>
      </c>
      <c r="J68" s="305">
        <v>2755.76005</v>
      </c>
      <c r="K68" s="305"/>
      <c r="L68" s="305"/>
      <c r="M68" s="305"/>
      <c r="N68" s="297"/>
      <c r="O68" s="305"/>
      <c r="P68" s="305"/>
      <c r="Q68" s="297">
        <f t="shared" si="7"/>
        <v>0</v>
      </c>
      <c r="R68" s="306"/>
      <c r="S68" s="306"/>
      <c r="T68" s="306"/>
      <c r="U68" s="299"/>
      <c r="V68" s="299"/>
      <c r="W68" s="307"/>
    </row>
    <row r="69" spans="1:23" s="308" customFormat="1" ht="24.75" customHeight="1">
      <c r="A69" s="293">
        <v>59</v>
      </c>
      <c r="B69" s="312" t="s">
        <v>95</v>
      </c>
      <c r="C69" s="295">
        <f t="shared" si="10"/>
        <v>0</v>
      </c>
      <c r="D69" s="304"/>
      <c r="E69" s="313"/>
      <c r="F69" s="304"/>
      <c r="G69" s="304"/>
      <c r="H69" s="305"/>
      <c r="I69" s="297">
        <f t="shared" si="4"/>
        <v>1573.430383</v>
      </c>
      <c r="J69" s="305">
        <v>1573.430383</v>
      </c>
      <c r="K69" s="305"/>
      <c r="L69" s="305"/>
      <c r="M69" s="305"/>
      <c r="N69" s="297"/>
      <c r="O69" s="305"/>
      <c r="P69" s="305"/>
      <c r="Q69" s="297">
        <f t="shared" si="7"/>
        <v>0</v>
      </c>
      <c r="R69" s="306"/>
      <c r="S69" s="306"/>
      <c r="T69" s="306"/>
      <c r="U69" s="299"/>
      <c r="V69" s="299"/>
      <c r="W69" s="307"/>
    </row>
    <row r="70" spans="1:23" s="308" customFormat="1" ht="24.75" customHeight="1">
      <c r="A70" s="293">
        <v>60</v>
      </c>
      <c r="B70" s="311" t="s">
        <v>57</v>
      </c>
      <c r="C70" s="295">
        <f t="shared" si="10"/>
        <v>0</v>
      </c>
      <c r="D70" s="304"/>
      <c r="E70" s="313"/>
      <c r="F70" s="304"/>
      <c r="G70" s="304"/>
      <c r="H70" s="305"/>
      <c r="I70" s="297">
        <f t="shared" si="4"/>
        <v>84692.517135</v>
      </c>
      <c r="J70" s="305">
        <v>84692.517135</v>
      </c>
      <c r="K70" s="305"/>
      <c r="L70" s="305"/>
      <c r="M70" s="305"/>
      <c r="N70" s="297"/>
      <c r="O70" s="305"/>
      <c r="P70" s="305"/>
      <c r="Q70" s="297">
        <f t="shared" si="7"/>
        <v>0</v>
      </c>
      <c r="R70" s="306"/>
      <c r="S70" s="306"/>
      <c r="T70" s="306"/>
      <c r="U70" s="299"/>
      <c r="V70" s="299"/>
      <c r="W70" s="307"/>
    </row>
    <row r="71" spans="1:23" s="308" customFormat="1" ht="24.75" customHeight="1">
      <c r="A71" s="293">
        <v>61</v>
      </c>
      <c r="B71" s="311" t="s">
        <v>93</v>
      </c>
      <c r="C71" s="295">
        <f t="shared" si="10"/>
        <v>0</v>
      </c>
      <c r="D71" s="304"/>
      <c r="E71" s="313"/>
      <c r="F71" s="304"/>
      <c r="G71" s="304"/>
      <c r="H71" s="305"/>
      <c r="I71" s="297">
        <f t="shared" si="4"/>
        <v>0</v>
      </c>
      <c r="J71" s="305">
        <v>0</v>
      </c>
      <c r="K71" s="305"/>
      <c r="L71" s="305"/>
      <c r="M71" s="305"/>
      <c r="N71" s="297"/>
      <c r="O71" s="305"/>
      <c r="P71" s="305"/>
      <c r="Q71" s="297">
        <f t="shared" si="7"/>
        <v>0</v>
      </c>
      <c r="R71" s="306"/>
      <c r="S71" s="306"/>
      <c r="T71" s="306"/>
      <c r="U71" s="299"/>
      <c r="V71" s="299"/>
      <c r="W71" s="307"/>
    </row>
    <row r="72" spans="1:23" s="308" customFormat="1" ht="24.75" customHeight="1">
      <c r="A72" s="293">
        <v>62</v>
      </c>
      <c r="B72" s="311" t="s">
        <v>94</v>
      </c>
      <c r="C72" s="295">
        <f t="shared" si="10"/>
        <v>0</v>
      </c>
      <c r="D72" s="304"/>
      <c r="E72" s="313"/>
      <c r="F72" s="304"/>
      <c r="G72" s="304"/>
      <c r="H72" s="305"/>
      <c r="I72" s="297">
        <f t="shared" si="4"/>
        <v>1000</v>
      </c>
      <c r="J72" s="305">
        <v>1000</v>
      </c>
      <c r="K72" s="305"/>
      <c r="L72" s="305"/>
      <c r="M72" s="305"/>
      <c r="N72" s="297"/>
      <c r="O72" s="305"/>
      <c r="P72" s="305"/>
      <c r="Q72" s="297">
        <f t="shared" si="7"/>
        <v>0</v>
      </c>
      <c r="R72" s="306"/>
      <c r="S72" s="306"/>
      <c r="T72" s="306"/>
      <c r="U72" s="299"/>
      <c r="V72" s="299"/>
      <c r="W72" s="307"/>
    </row>
    <row r="73" spans="1:23" s="308" customFormat="1" ht="24.75" customHeight="1">
      <c r="A73" s="293">
        <v>63</v>
      </c>
      <c r="B73" s="303" t="s">
        <v>80</v>
      </c>
      <c r="C73" s="295">
        <f t="shared" si="5"/>
        <v>15649</v>
      </c>
      <c r="D73" s="304"/>
      <c r="E73" s="313">
        <v>15649</v>
      </c>
      <c r="F73" s="304"/>
      <c r="G73" s="304"/>
      <c r="H73" s="305"/>
      <c r="I73" s="297">
        <f t="shared" si="4"/>
        <v>19366.3895</v>
      </c>
      <c r="J73" s="305">
        <v>0</v>
      </c>
      <c r="K73" s="305">
        <f>15649+3717.3895</f>
        <v>19366.3895</v>
      </c>
      <c r="L73" s="305"/>
      <c r="M73" s="305"/>
      <c r="N73" s="297"/>
      <c r="O73" s="305"/>
      <c r="P73" s="305"/>
      <c r="Q73" s="297">
        <f t="shared" si="7"/>
        <v>0</v>
      </c>
      <c r="R73" s="306"/>
      <c r="S73" s="306"/>
      <c r="T73" s="306"/>
      <c r="U73" s="299"/>
      <c r="V73" s="299"/>
      <c r="W73" s="307"/>
    </row>
    <row r="74" spans="1:23" s="308" customFormat="1" ht="24.75" customHeight="1">
      <c r="A74" s="293">
        <v>64</v>
      </c>
      <c r="B74" s="303" t="s">
        <v>81</v>
      </c>
      <c r="C74" s="295">
        <f t="shared" si="5"/>
        <v>1566</v>
      </c>
      <c r="D74" s="304"/>
      <c r="E74" s="313">
        <v>1566</v>
      </c>
      <c r="F74" s="304"/>
      <c r="G74" s="304"/>
      <c r="H74" s="305"/>
      <c r="I74" s="297">
        <f>SUM(J74:M74,N74,Q74)</f>
        <v>2238.56</v>
      </c>
      <c r="J74" s="305">
        <v>0</v>
      </c>
      <c r="K74" s="305">
        <f>1566+372.56</f>
        <v>1938.56</v>
      </c>
      <c r="L74" s="305"/>
      <c r="M74" s="305"/>
      <c r="N74" s="297"/>
      <c r="O74" s="305"/>
      <c r="P74" s="305"/>
      <c r="Q74" s="297">
        <f t="shared" si="7"/>
        <v>300</v>
      </c>
      <c r="R74" s="306"/>
      <c r="S74" s="306"/>
      <c r="T74" s="306">
        <v>300</v>
      </c>
      <c r="U74" s="299"/>
      <c r="V74" s="299"/>
      <c r="W74" s="307"/>
    </row>
    <row r="75" spans="1:23" s="308" customFormat="1" ht="24.75" customHeight="1">
      <c r="A75" s="293">
        <v>65</v>
      </c>
      <c r="B75" s="311" t="s">
        <v>86</v>
      </c>
      <c r="C75" s="295">
        <f t="shared" si="5"/>
        <v>0</v>
      </c>
      <c r="D75" s="304"/>
      <c r="E75" s="304"/>
      <c r="F75" s="304"/>
      <c r="G75" s="304"/>
      <c r="H75" s="305"/>
      <c r="I75" s="297">
        <f>SUM(J75:M75,N75,Q75)</f>
        <v>2241.464908</v>
      </c>
      <c r="J75" s="305">
        <v>2241.464908</v>
      </c>
      <c r="K75" s="305"/>
      <c r="L75" s="305"/>
      <c r="M75" s="305"/>
      <c r="N75" s="297"/>
      <c r="O75" s="305"/>
      <c r="P75" s="305"/>
      <c r="Q75" s="297">
        <f t="shared" si="7"/>
        <v>0</v>
      </c>
      <c r="R75" s="306"/>
      <c r="S75" s="306"/>
      <c r="T75" s="306"/>
      <c r="U75" s="299"/>
      <c r="V75" s="299"/>
      <c r="W75" s="307"/>
    </row>
    <row r="76" spans="1:23" s="308" customFormat="1" ht="24.75" customHeight="1">
      <c r="A76" s="293">
        <v>66</v>
      </c>
      <c r="B76" s="311" t="s">
        <v>96</v>
      </c>
      <c r="C76" s="295">
        <f t="shared" si="5"/>
        <v>0</v>
      </c>
      <c r="D76" s="304"/>
      <c r="E76" s="304"/>
      <c r="F76" s="304"/>
      <c r="G76" s="304"/>
      <c r="H76" s="305"/>
      <c r="I76" s="297">
        <f>SUM(J76:M76,N76,Q76)</f>
        <v>90</v>
      </c>
      <c r="J76" s="305">
        <v>90</v>
      </c>
      <c r="K76" s="305"/>
      <c r="L76" s="305"/>
      <c r="M76" s="305"/>
      <c r="N76" s="297"/>
      <c r="O76" s="305"/>
      <c r="P76" s="305"/>
      <c r="Q76" s="297">
        <f t="shared" si="7"/>
        <v>0</v>
      </c>
      <c r="R76" s="306"/>
      <c r="S76" s="306"/>
      <c r="T76" s="306"/>
      <c r="U76" s="299"/>
      <c r="V76" s="299"/>
      <c r="W76" s="307"/>
    </row>
    <row r="77" spans="1:23" s="308" customFormat="1" ht="24.75" customHeight="1">
      <c r="A77" s="293">
        <v>67</v>
      </c>
      <c r="B77" s="311" t="s">
        <v>98</v>
      </c>
      <c r="C77" s="295">
        <f t="shared" si="5"/>
        <v>0</v>
      </c>
      <c r="D77" s="304"/>
      <c r="E77" s="304"/>
      <c r="F77" s="304"/>
      <c r="G77" s="304"/>
      <c r="H77" s="305"/>
      <c r="I77" s="297">
        <f>SUM(J77:M77,N77,Q77)</f>
        <v>11721.804</v>
      </c>
      <c r="J77" s="305">
        <v>11721.804</v>
      </c>
      <c r="K77" s="305"/>
      <c r="L77" s="305"/>
      <c r="M77" s="305"/>
      <c r="N77" s="297"/>
      <c r="O77" s="305"/>
      <c r="P77" s="305"/>
      <c r="Q77" s="297">
        <f>SUM(R77:T77)</f>
        <v>0</v>
      </c>
      <c r="R77" s="306"/>
      <c r="S77" s="306"/>
      <c r="T77" s="306"/>
      <c r="U77" s="299"/>
      <c r="V77" s="299"/>
      <c r="W77" s="307"/>
    </row>
    <row r="78" spans="1:23" s="319" customFormat="1" ht="24.75" customHeight="1">
      <c r="A78" s="31" t="s">
        <v>365</v>
      </c>
      <c r="B78" s="314" t="s">
        <v>42</v>
      </c>
      <c r="C78" s="315">
        <f>SUM(C79:C91)</f>
        <v>11221</v>
      </c>
      <c r="D78" s="315"/>
      <c r="E78" s="315">
        <f aca="true" t="shared" si="11" ref="E78:T78">SUM(E79:E91)</f>
        <v>11221</v>
      </c>
      <c r="F78" s="315">
        <f t="shared" si="11"/>
        <v>0</v>
      </c>
      <c r="G78" s="315">
        <f t="shared" si="11"/>
        <v>0</v>
      </c>
      <c r="H78" s="316">
        <f t="shared" si="11"/>
        <v>0</v>
      </c>
      <c r="I78" s="316">
        <f t="shared" si="11"/>
        <v>15115.329857</v>
      </c>
      <c r="J78" s="316">
        <f t="shared" si="11"/>
        <v>0</v>
      </c>
      <c r="K78" s="316">
        <f t="shared" si="11"/>
        <v>15081.148357</v>
      </c>
      <c r="L78" s="316">
        <f t="shared" si="11"/>
        <v>0</v>
      </c>
      <c r="M78" s="316">
        <f t="shared" si="11"/>
        <v>0</v>
      </c>
      <c r="N78" s="316">
        <f t="shared" si="11"/>
        <v>0</v>
      </c>
      <c r="O78" s="316">
        <f t="shared" si="11"/>
        <v>0</v>
      </c>
      <c r="P78" s="316">
        <f t="shared" si="11"/>
        <v>0</v>
      </c>
      <c r="Q78" s="316">
        <f t="shared" si="11"/>
        <v>34.1815</v>
      </c>
      <c r="R78" s="317">
        <f t="shared" si="11"/>
        <v>34.1815</v>
      </c>
      <c r="S78" s="317">
        <f t="shared" si="11"/>
        <v>0</v>
      </c>
      <c r="T78" s="317">
        <f t="shared" si="11"/>
        <v>0</v>
      </c>
      <c r="U78" s="283">
        <f aca="true" t="shared" si="12" ref="U78:U87">I78/C78</f>
        <v>1.347057290526691</v>
      </c>
      <c r="V78" s="283">
        <f aca="true" t="shared" si="13" ref="V78:V90">K78/E78</f>
        <v>1.3440110825238392</v>
      </c>
      <c r="W78" s="318"/>
    </row>
    <row r="79" spans="1:23" s="308" customFormat="1" ht="24.75" customHeight="1">
      <c r="A79" s="29">
        <v>1</v>
      </c>
      <c r="B79" s="303" t="s">
        <v>48</v>
      </c>
      <c r="C79" s="304">
        <f aca="true" t="shared" si="14" ref="C79:C102">SUM(D79:H79)</f>
        <v>2806</v>
      </c>
      <c r="D79" s="304"/>
      <c r="E79" s="313">
        <v>2806</v>
      </c>
      <c r="F79" s="304"/>
      <c r="G79" s="304"/>
      <c r="H79" s="305"/>
      <c r="I79" s="297">
        <f aca="true" t="shared" si="15" ref="I79:I91">SUM(J79:M79,N79,Q79)</f>
        <v>3149</v>
      </c>
      <c r="J79" s="305">
        <v>0</v>
      </c>
      <c r="K79" s="305">
        <f>2983+166</f>
        <v>3149</v>
      </c>
      <c r="L79" s="305"/>
      <c r="M79" s="305"/>
      <c r="N79" s="297">
        <f aca="true" t="shared" si="16" ref="N79:N90">SUM(O79:P79)</f>
        <v>0</v>
      </c>
      <c r="O79" s="305"/>
      <c r="P79" s="305"/>
      <c r="Q79" s="297">
        <f aca="true" t="shared" si="17" ref="Q79:Q90">SUM(R79:T79)</f>
        <v>0</v>
      </c>
      <c r="R79" s="306"/>
      <c r="S79" s="306"/>
      <c r="T79" s="306"/>
      <c r="U79" s="299">
        <f t="shared" si="12"/>
        <v>1.1222380612972203</v>
      </c>
      <c r="V79" s="299">
        <f t="shared" si="13"/>
        <v>1.1222380612972203</v>
      </c>
      <c r="W79" s="307"/>
    </row>
    <row r="80" spans="1:23" s="308" customFormat="1" ht="24.75" customHeight="1">
      <c r="A80" s="29">
        <v>2</v>
      </c>
      <c r="B80" s="303" t="s">
        <v>47</v>
      </c>
      <c r="C80" s="304">
        <f t="shared" si="14"/>
        <v>1980</v>
      </c>
      <c r="D80" s="304"/>
      <c r="E80" s="313">
        <v>1980</v>
      </c>
      <c r="F80" s="304"/>
      <c r="G80" s="304"/>
      <c r="H80" s="305"/>
      <c r="I80" s="297">
        <f t="shared" si="15"/>
        <v>2685</v>
      </c>
      <c r="J80" s="305">
        <v>0</v>
      </c>
      <c r="K80" s="305">
        <f>2166+485+34</f>
        <v>2685</v>
      </c>
      <c r="L80" s="305"/>
      <c r="M80" s="305"/>
      <c r="N80" s="297">
        <f t="shared" si="16"/>
        <v>0</v>
      </c>
      <c r="O80" s="305"/>
      <c r="P80" s="305"/>
      <c r="Q80" s="297">
        <f t="shared" si="17"/>
        <v>0</v>
      </c>
      <c r="R80" s="306"/>
      <c r="S80" s="306"/>
      <c r="T80" s="306"/>
      <c r="U80" s="299">
        <f t="shared" si="12"/>
        <v>1.356060606060606</v>
      </c>
      <c r="V80" s="299">
        <f t="shared" si="13"/>
        <v>1.356060606060606</v>
      </c>
      <c r="W80" s="307"/>
    </row>
    <row r="81" spans="1:23" s="308" customFormat="1" ht="24.75" customHeight="1">
      <c r="A81" s="29">
        <v>3</v>
      </c>
      <c r="B81" s="303" t="s">
        <v>264</v>
      </c>
      <c r="C81" s="304">
        <f t="shared" si="14"/>
        <v>300</v>
      </c>
      <c r="D81" s="304"/>
      <c r="E81" s="313">
        <v>300</v>
      </c>
      <c r="F81" s="304"/>
      <c r="G81" s="304"/>
      <c r="H81" s="305"/>
      <c r="I81" s="297">
        <f t="shared" si="15"/>
        <v>308</v>
      </c>
      <c r="J81" s="305">
        <v>0</v>
      </c>
      <c r="K81" s="305">
        <f>304+4</f>
        <v>308</v>
      </c>
      <c r="L81" s="305"/>
      <c r="M81" s="305"/>
      <c r="N81" s="297">
        <f t="shared" si="16"/>
        <v>0</v>
      </c>
      <c r="O81" s="305"/>
      <c r="P81" s="305"/>
      <c r="Q81" s="297">
        <f t="shared" si="17"/>
        <v>0</v>
      </c>
      <c r="R81" s="306"/>
      <c r="S81" s="306"/>
      <c r="T81" s="306"/>
      <c r="U81" s="299">
        <f t="shared" si="12"/>
        <v>1.0266666666666666</v>
      </c>
      <c r="V81" s="299">
        <f t="shared" si="13"/>
        <v>1.0266666666666666</v>
      </c>
      <c r="W81" s="307"/>
    </row>
    <row r="82" spans="1:23" s="308" customFormat="1" ht="24.75" customHeight="1">
      <c r="A82" s="29">
        <v>4</v>
      </c>
      <c r="B82" s="303" t="s">
        <v>401</v>
      </c>
      <c r="C82" s="304">
        <f t="shared" si="14"/>
        <v>380</v>
      </c>
      <c r="D82" s="304"/>
      <c r="E82" s="313">
        <v>380</v>
      </c>
      <c r="F82" s="304"/>
      <c r="G82" s="304"/>
      <c r="H82" s="305"/>
      <c r="I82" s="297">
        <f t="shared" si="15"/>
        <v>393</v>
      </c>
      <c r="J82" s="305">
        <v>0</v>
      </c>
      <c r="K82" s="305">
        <f>385+8</f>
        <v>393</v>
      </c>
      <c r="L82" s="305"/>
      <c r="M82" s="305"/>
      <c r="N82" s="297">
        <f t="shared" si="16"/>
        <v>0</v>
      </c>
      <c r="O82" s="305"/>
      <c r="P82" s="305"/>
      <c r="Q82" s="297">
        <f t="shared" si="17"/>
        <v>0</v>
      </c>
      <c r="R82" s="306"/>
      <c r="S82" s="306"/>
      <c r="T82" s="306"/>
      <c r="U82" s="299">
        <f t="shared" si="12"/>
        <v>1.0342105263157895</v>
      </c>
      <c r="V82" s="299">
        <f t="shared" si="13"/>
        <v>1.0342105263157895</v>
      </c>
      <c r="W82" s="307"/>
    </row>
    <row r="83" spans="1:23" s="308" customFormat="1" ht="24.75" customHeight="1">
      <c r="A83" s="29">
        <v>5</v>
      </c>
      <c r="B83" s="303" t="s">
        <v>49</v>
      </c>
      <c r="C83" s="304">
        <f t="shared" si="14"/>
        <v>306</v>
      </c>
      <c r="D83" s="304"/>
      <c r="E83" s="313">
        <v>306</v>
      </c>
      <c r="F83" s="304"/>
      <c r="G83" s="304"/>
      <c r="H83" s="305"/>
      <c r="I83" s="297">
        <f t="shared" si="15"/>
        <v>316</v>
      </c>
      <c r="J83" s="305">
        <v>0</v>
      </c>
      <c r="K83" s="305">
        <f>311+5</f>
        <v>316</v>
      </c>
      <c r="L83" s="305"/>
      <c r="M83" s="305"/>
      <c r="N83" s="297">
        <f t="shared" si="16"/>
        <v>0</v>
      </c>
      <c r="O83" s="305"/>
      <c r="P83" s="305"/>
      <c r="Q83" s="297">
        <f t="shared" si="17"/>
        <v>0</v>
      </c>
      <c r="R83" s="306"/>
      <c r="S83" s="306"/>
      <c r="T83" s="306"/>
      <c r="U83" s="299">
        <f t="shared" si="12"/>
        <v>1.0326797385620916</v>
      </c>
      <c r="V83" s="299">
        <f t="shared" si="13"/>
        <v>1.0326797385620916</v>
      </c>
      <c r="W83" s="307"/>
    </row>
    <row r="84" spans="1:23" s="308" customFormat="1" ht="24.75" customHeight="1">
      <c r="A84" s="29">
        <v>6</v>
      </c>
      <c r="B84" s="303" t="s">
        <v>54</v>
      </c>
      <c r="C84" s="304">
        <f t="shared" si="14"/>
        <v>790</v>
      </c>
      <c r="D84" s="304"/>
      <c r="E84" s="313">
        <v>790</v>
      </c>
      <c r="F84" s="304"/>
      <c r="G84" s="304"/>
      <c r="H84" s="305"/>
      <c r="I84" s="297">
        <f t="shared" si="15"/>
        <v>2936.664198</v>
      </c>
      <c r="J84" s="305">
        <v>0</v>
      </c>
      <c r="K84" s="305">
        <f>931+1998.664198+7</f>
        <v>2936.664198</v>
      </c>
      <c r="L84" s="305"/>
      <c r="M84" s="305"/>
      <c r="N84" s="297">
        <f t="shared" si="16"/>
        <v>0</v>
      </c>
      <c r="O84" s="305"/>
      <c r="P84" s="305"/>
      <c r="Q84" s="297">
        <f t="shared" si="17"/>
        <v>0</v>
      </c>
      <c r="R84" s="306"/>
      <c r="S84" s="306"/>
      <c r="T84" s="306"/>
      <c r="U84" s="299">
        <f t="shared" si="12"/>
        <v>3.7172964531645567</v>
      </c>
      <c r="V84" s="299">
        <f t="shared" si="13"/>
        <v>3.7172964531645567</v>
      </c>
      <c r="W84" s="307"/>
    </row>
    <row r="85" spans="1:23" s="308" customFormat="1" ht="24.75" customHeight="1">
      <c r="A85" s="29">
        <v>7</v>
      </c>
      <c r="B85" s="303" t="s">
        <v>263</v>
      </c>
      <c r="C85" s="304">
        <f t="shared" si="14"/>
        <v>1112</v>
      </c>
      <c r="D85" s="304"/>
      <c r="E85" s="313">
        <v>1112</v>
      </c>
      <c r="F85" s="304"/>
      <c r="G85" s="304"/>
      <c r="H85" s="305"/>
      <c r="I85" s="297">
        <f t="shared" si="15"/>
        <v>1099.75</v>
      </c>
      <c r="J85" s="305">
        <v>0</v>
      </c>
      <c r="K85" s="305">
        <v>1084.75</v>
      </c>
      <c r="L85" s="305"/>
      <c r="M85" s="305"/>
      <c r="N85" s="297">
        <f t="shared" si="16"/>
        <v>0</v>
      </c>
      <c r="O85" s="305"/>
      <c r="P85" s="305"/>
      <c r="Q85" s="297">
        <f t="shared" si="17"/>
        <v>15</v>
      </c>
      <c r="R85" s="306">
        <v>15</v>
      </c>
      <c r="S85" s="306"/>
      <c r="T85" s="306"/>
      <c r="U85" s="299">
        <f t="shared" si="12"/>
        <v>0.9889838129496403</v>
      </c>
      <c r="V85" s="299">
        <f t="shared" si="13"/>
        <v>0.9754946043165468</v>
      </c>
      <c r="W85" s="307"/>
    </row>
    <row r="86" spans="1:23" s="308" customFormat="1" ht="24.75" customHeight="1">
      <c r="A86" s="29">
        <v>8</v>
      </c>
      <c r="B86" s="303" t="s">
        <v>50</v>
      </c>
      <c r="C86" s="304">
        <f t="shared" si="14"/>
        <v>260</v>
      </c>
      <c r="D86" s="304"/>
      <c r="E86" s="313">
        <v>260</v>
      </c>
      <c r="F86" s="304"/>
      <c r="G86" s="304"/>
      <c r="H86" s="305"/>
      <c r="I86" s="297">
        <f t="shared" si="15"/>
        <v>325.915659</v>
      </c>
      <c r="J86" s="305">
        <v>0</v>
      </c>
      <c r="K86" s="305">
        <v>325.915659</v>
      </c>
      <c r="L86" s="305"/>
      <c r="M86" s="305"/>
      <c r="N86" s="297">
        <f t="shared" si="16"/>
        <v>0</v>
      </c>
      <c r="O86" s="305"/>
      <c r="P86" s="305"/>
      <c r="Q86" s="297">
        <f t="shared" si="17"/>
        <v>0</v>
      </c>
      <c r="R86" s="306"/>
      <c r="S86" s="306"/>
      <c r="T86" s="306"/>
      <c r="U86" s="299">
        <f t="shared" si="12"/>
        <v>1.2535217653846153</v>
      </c>
      <c r="V86" s="299">
        <f t="shared" si="13"/>
        <v>1.2535217653846153</v>
      </c>
      <c r="W86" s="307"/>
    </row>
    <row r="87" spans="1:23" s="308" customFormat="1" ht="24.75" customHeight="1">
      <c r="A87" s="29">
        <v>9</v>
      </c>
      <c r="B87" s="303" t="s">
        <v>51</v>
      </c>
      <c r="C87" s="304">
        <f t="shared" si="14"/>
        <v>890</v>
      </c>
      <c r="D87" s="304"/>
      <c r="E87" s="313">
        <v>890</v>
      </c>
      <c r="F87" s="304"/>
      <c r="G87" s="304"/>
      <c r="H87" s="305"/>
      <c r="I87" s="297">
        <f t="shared" si="15"/>
        <v>1042</v>
      </c>
      <c r="J87" s="305">
        <v>0</v>
      </c>
      <c r="K87" s="305">
        <f>1030+12</f>
        <v>1042</v>
      </c>
      <c r="L87" s="305"/>
      <c r="M87" s="305"/>
      <c r="N87" s="297">
        <f t="shared" si="16"/>
        <v>0</v>
      </c>
      <c r="O87" s="305"/>
      <c r="P87" s="305"/>
      <c r="Q87" s="297">
        <f t="shared" si="17"/>
        <v>0</v>
      </c>
      <c r="R87" s="306"/>
      <c r="S87" s="306"/>
      <c r="T87" s="306"/>
      <c r="U87" s="299">
        <f t="shared" si="12"/>
        <v>1.1707865168539326</v>
      </c>
      <c r="V87" s="299">
        <f t="shared" si="13"/>
        <v>1.1707865168539326</v>
      </c>
      <c r="W87" s="307"/>
    </row>
    <row r="88" spans="1:23" s="308" customFormat="1" ht="24.75" customHeight="1">
      <c r="A88" s="29">
        <v>10</v>
      </c>
      <c r="B88" s="303" t="s">
        <v>410</v>
      </c>
      <c r="C88" s="304">
        <f t="shared" si="14"/>
        <v>198</v>
      </c>
      <c r="D88" s="304"/>
      <c r="E88" s="313">
        <v>198</v>
      </c>
      <c r="F88" s="304"/>
      <c r="G88" s="304"/>
      <c r="H88" s="305"/>
      <c r="I88" s="297">
        <f t="shared" si="15"/>
        <v>200</v>
      </c>
      <c r="J88" s="305">
        <v>0</v>
      </c>
      <c r="K88" s="305">
        <v>184.732</v>
      </c>
      <c r="L88" s="305"/>
      <c r="M88" s="305"/>
      <c r="N88" s="297">
        <f t="shared" si="16"/>
        <v>0</v>
      </c>
      <c r="O88" s="305"/>
      <c r="P88" s="305"/>
      <c r="Q88" s="297">
        <f t="shared" si="17"/>
        <v>15.268</v>
      </c>
      <c r="R88" s="306">
        <v>15.268</v>
      </c>
      <c r="S88" s="306"/>
      <c r="T88" s="306"/>
      <c r="U88" s="299">
        <f>I88/C88</f>
        <v>1.0101010101010102</v>
      </c>
      <c r="V88" s="299">
        <f t="shared" si="13"/>
        <v>0.932989898989899</v>
      </c>
      <c r="W88" s="307"/>
    </row>
    <row r="89" spans="1:23" s="308" customFormat="1" ht="24.75" customHeight="1">
      <c r="A89" s="29">
        <v>11</v>
      </c>
      <c r="B89" s="303" t="s">
        <v>52</v>
      </c>
      <c r="C89" s="304">
        <f t="shared" si="14"/>
        <v>326</v>
      </c>
      <c r="D89" s="304"/>
      <c r="E89" s="320">
        <v>326</v>
      </c>
      <c r="F89" s="304"/>
      <c r="G89" s="304"/>
      <c r="H89" s="305"/>
      <c r="I89" s="297">
        <f t="shared" si="15"/>
        <v>350</v>
      </c>
      <c r="J89" s="305">
        <v>0</v>
      </c>
      <c r="K89" s="305">
        <f>327.0865+19</f>
        <v>346.0865</v>
      </c>
      <c r="L89" s="305"/>
      <c r="M89" s="305"/>
      <c r="N89" s="297">
        <f t="shared" si="16"/>
        <v>0</v>
      </c>
      <c r="O89" s="305"/>
      <c r="P89" s="305"/>
      <c r="Q89" s="297">
        <f t="shared" si="17"/>
        <v>3.9135</v>
      </c>
      <c r="R89" s="306">
        <v>3.9135</v>
      </c>
      <c r="S89" s="306"/>
      <c r="T89" s="306"/>
      <c r="U89" s="299">
        <f>I89/C89</f>
        <v>1.0736196319018405</v>
      </c>
      <c r="V89" s="299">
        <f t="shared" si="13"/>
        <v>1.0616150306748466</v>
      </c>
      <c r="W89" s="307"/>
    </row>
    <row r="90" spans="1:23" s="308" customFormat="1" ht="24.75" customHeight="1">
      <c r="A90" s="29">
        <v>12</v>
      </c>
      <c r="B90" s="303" t="s">
        <v>53</v>
      </c>
      <c r="C90" s="295">
        <f t="shared" si="14"/>
        <v>1873</v>
      </c>
      <c r="D90" s="304"/>
      <c r="E90" s="320">
        <v>1873</v>
      </c>
      <c r="F90" s="304"/>
      <c r="G90" s="304"/>
      <c r="H90" s="305"/>
      <c r="I90" s="297">
        <f t="shared" si="15"/>
        <v>1956</v>
      </c>
      <c r="J90" s="305">
        <v>0</v>
      </c>
      <c r="K90" s="305">
        <f>1920+36</f>
        <v>1956</v>
      </c>
      <c r="L90" s="305"/>
      <c r="M90" s="305"/>
      <c r="N90" s="297">
        <f t="shared" si="16"/>
        <v>0</v>
      </c>
      <c r="O90" s="305"/>
      <c r="P90" s="305"/>
      <c r="Q90" s="297">
        <f t="shared" si="17"/>
        <v>0</v>
      </c>
      <c r="R90" s="306"/>
      <c r="S90" s="306"/>
      <c r="T90" s="306"/>
      <c r="U90" s="299">
        <f>I90/C90</f>
        <v>1.0443139348638548</v>
      </c>
      <c r="V90" s="299">
        <f t="shared" si="13"/>
        <v>1.0443139348638548</v>
      </c>
      <c r="W90" s="307"/>
    </row>
    <row r="91" spans="1:23" s="308" customFormat="1" ht="24.75" customHeight="1">
      <c r="A91" s="29">
        <v>13</v>
      </c>
      <c r="B91" s="303" t="s">
        <v>403</v>
      </c>
      <c r="C91" s="304">
        <f t="shared" si="14"/>
        <v>0</v>
      </c>
      <c r="D91" s="304"/>
      <c r="E91" s="304"/>
      <c r="F91" s="304"/>
      <c r="G91" s="304"/>
      <c r="H91" s="305"/>
      <c r="I91" s="297">
        <f t="shared" si="15"/>
        <v>354</v>
      </c>
      <c r="J91" s="305">
        <v>0</v>
      </c>
      <c r="K91" s="305">
        <v>354</v>
      </c>
      <c r="L91" s="305"/>
      <c r="M91" s="305"/>
      <c r="N91" s="297">
        <f t="shared" si="6"/>
        <v>0</v>
      </c>
      <c r="O91" s="305"/>
      <c r="P91" s="305"/>
      <c r="Q91" s="297">
        <f aca="true" t="shared" si="18" ref="Q91:Q102">SUM(R91:T91)</f>
        <v>0</v>
      </c>
      <c r="R91" s="306"/>
      <c r="S91" s="306"/>
      <c r="T91" s="306"/>
      <c r="U91" s="299"/>
      <c r="V91" s="299"/>
      <c r="W91" s="307"/>
    </row>
    <row r="92" spans="1:23" s="319" customFormat="1" ht="24.75" customHeight="1">
      <c r="A92" s="31" t="s">
        <v>366</v>
      </c>
      <c r="B92" s="314" t="s">
        <v>84</v>
      </c>
      <c r="C92" s="315">
        <f>SUM(C93:C102)</f>
        <v>0</v>
      </c>
      <c r="D92" s="315"/>
      <c r="E92" s="315">
        <f aca="true" t="shared" si="19" ref="E92:P92">SUM(E93:E102)</f>
        <v>0</v>
      </c>
      <c r="F92" s="315">
        <f t="shared" si="19"/>
        <v>0</v>
      </c>
      <c r="G92" s="315">
        <f t="shared" si="19"/>
        <v>0</v>
      </c>
      <c r="H92" s="316">
        <f t="shared" si="19"/>
        <v>0</v>
      </c>
      <c r="I92" s="316">
        <f t="shared" si="19"/>
        <v>834848.7757070002</v>
      </c>
      <c r="J92" s="316">
        <v>677839.3507070001</v>
      </c>
      <c r="K92" s="316">
        <f t="shared" si="19"/>
        <v>0</v>
      </c>
      <c r="L92" s="316">
        <f t="shared" si="19"/>
        <v>0</v>
      </c>
      <c r="M92" s="316">
        <f t="shared" si="19"/>
        <v>0</v>
      </c>
      <c r="N92" s="316">
        <f t="shared" si="19"/>
        <v>0</v>
      </c>
      <c r="O92" s="316">
        <f t="shared" si="19"/>
        <v>0</v>
      </c>
      <c r="P92" s="316">
        <f t="shared" si="19"/>
        <v>0</v>
      </c>
      <c r="Q92" s="290">
        <f t="shared" si="18"/>
        <v>157009.42500000002</v>
      </c>
      <c r="R92" s="317">
        <f>SUM(R93:R102)</f>
        <v>0</v>
      </c>
      <c r="S92" s="317">
        <f>SUM(S93:S102)</f>
        <v>0</v>
      </c>
      <c r="T92" s="317">
        <f>SUM(T93:T102)</f>
        <v>157009.42500000002</v>
      </c>
      <c r="U92" s="283"/>
      <c r="V92" s="283"/>
      <c r="W92" s="318"/>
    </row>
    <row r="93" spans="1:23" s="308" customFormat="1" ht="24.75" customHeight="1">
      <c r="A93" s="321">
        <v>1</v>
      </c>
      <c r="B93" s="58" t="s">
        <v>319</v>
      </c>
      <c r="C93" s="304">
        <f t="shared" si="14"/>
        <v>0</v>
      </c>
      <c r="D93" s="304"/>
      <c r="E93" s="304"/>
      <c r="F93" s="304"/>
      <c r="G93" s="304"/>
      <c r="H93" s="305"/>
      <c r="I93" s="297">
        <f aca="true" t="shared" si="20" ref="I93:I102">SUM(J93:M93,N93,Q93)</f>
        <v>94686.357021</v>
      </c>
      <c r="J93" s="305">
        <v>54598.287021</v>
      </c>
      <c r="K93" s="305"/>
      <c r="L93" s="305"/>
      <c r="M93" s="305"/>
      <c r="N93" s="297">
        <f aca="true" t="shared" si="21" ref="N93:N102">SUM(O93:P93)</f>
        <v>0</v>
      </c>
      <c r="O93" s="305"/>
      <c r="P93" s="305"/>
      <c r="Q93" s="297">
        <f t="shared" si="18"/>
        <v>40088.07</v>
      </c>
      <c r="R93" s="306"/>
      <c r="S93" s="306"/>
      <c r="T93" s="306">
        <v>40088.07</v>
      </c>
      <c r="U93" s="299"/>
      <c r="V93" s="299"/>
      <c r="W93" s="307"/>
    </row>
    <row r="94" spans="1:23" s="308" customFormat="1" ht="24.75" customHeight="1">
      <c r="A94" s="321">
        <v>2</v>
      </c>
      <c r="B94" s="58" t="s">
        <v>317</v>
      </c>
      <c r="C94" s="304">
        <f t="shared" si="14"/>
        <v>0</v>
      </c>
      <c r="D94" s="304"/>
      <c r="E94" s="304"/>
      <c r="F94" s="304"/>
      <c r="G94" s="304"/>
      <c r="H94" s="305"/>
      <c r="I94" s="297">
        <f t="shared" si="20"/>
        <v>55341.515042</v>
      </c>
      <c r="J94" s="305">
        <v>44454.605042</v>
      </c>
      <c r="K94" s="305"/>
      <c r="L94" s="305"/>
      <c r="M94" s="305"/>
      <c r="N94" s="297">
        <f t="shared" si="21"/>
        <v>0</v>
      </c>
      <c r="O94" s="305"/>
      <c r="P94" s="305"/>
      <c r="Q94" s="297">
        <f t="shared" si="18"/>
        <v>10886.91</v>
      </c>
      <c r="R94" s="306"/>
      <c r="S94" s="306"/>
      <c r="T94" s="306">
        <v>10886.91</v>
      </c>
      <c r="U94" s="299"/>
      <c r="V94" s="299"/>
      <c r="W94" s="307"/>
    </row>
    <row r="95" spans="1:23" s="308" customFormat="1" ht="24.75" customHeight="1">
      <c r="A95" s="321">
        <v>3</v>
      </c>
      <c r="B95" s="58" t="s">
        <v>318</v>
      </c>
      <c r="C95" s="304">
        <f t="shared" si="14"/>
        <v>0</v>
      </c>
      <c r="D95" s="304"/>
      <c r="E95" s="304"/>
      <c r="F95" s="304"/>
      <c r="G95" s="304"/>
      <c r="H95" s="305"/>
      <c r="I95" s="297">
        <f t="shared" si="20"/>
        <v>82283.537501</v>
      </c>
      <c r="J95" s="305">
        <v>50207.565501</v>
      </c>
      <c r="K95" s="305"/>
      <c r="L95" s="305"/>
      <c r="M95" s="305"/>
      <c r="N95" s="297">
        <f t="shared" si="21"/>
        <v>0</v>
      </c>
      <c r="O95" s="305"/>
      <c r="P95" s="305"/>
      <c r="Q95" s="297">
        <f t="shared" si="18"/>
        <v>32075.972</v>
      </c>
      <c r="R95" s="306"/>
      <c r="S95" s="306"/>
      <c r="T95" s="306">
        <v>32075.972</v>
      </c>
      <c r="U95" s="299"/>
      <c r="V95" s="299"/>
      <c r="W95" s="307"/>
    </row>
    <row r="96" spans="1:23" s="308" customFormat="1" ht="24.75" customHeight="1">
      <c r="A96" s="321">
        <v>4</v>
      </c>
      <c r="B96" s="58" t="s">
        <v>320</v>
      </c>
      <c r="C96" s="304">
        <f t="shared" si="14"/>
        <v>0</v>
      </c>
      <c r="D96" s="304"/>
      <c r="E96" s="304"/>
      <c r="F96" s="304"/>
      <c r="G96" s="304"/>
      <c r="H96" s="305"/>
      <c r="I96" s="297">
        <f t="shared" si="20"/>
        <v>46621.572018000006</v>
      </c>
      <c r="J96" s="305">
        <v>38752.86201800001</v>
      </c>
      <c r="K96" s="305"/>
      <c r="L96" s="305"/>
      <c r="M96" s="305"/>
      <c r="N96" s="297">
        <f t="shared" si="21"/>
        <v>0</v>
      </c>
      <c r="O96" s="305"/>
      <c r="P96" s="305"/>
      <c r="Q96" s="297">
        <f t="shared" si="18"/>
        <v>7868.71</v>
      </c>
      <c r="R96" s="306"/>
      <c r="S96" s="306"/>
      <c r="T96" s="306">
        <v>7868.71</v>
      </c>
      <c r="U96" s="299"/>
      <c r="V96" s="299"/>
      <c r="W96" s="307"/>
    </row>
    <row r="97" spans="1:23" s="308" customFormat="1" ht="24.75" customHeight="1">
      <c r="A97" s="321">
        <v>5</v>
      </c>
      <c r="B97" s="58" t="s">
        <v>321</v>
      </c>
      <c r="C97" s="304">
        <f t="shared" si="14"/>
        <v>0</v>
      </c>
      <c r="D97" s="304"/>
      <c r="E97" s="304"/>
      <c r="F97" s="304"/>
      <c r="G97" s="304"/>
      <c r="H97" s="305"/>
      <c r="I97" s="297">
        <f t="shared" si="20"/>
        <v>50607.328546000004</v>
      </c>
      <c r="J97" s="305">
        <v>43988.625546</v>
      </c>
      <c r="K97" s="305"/>
      <c r="L97" s="305"/>
      <c r="M97" s="305"/>
      <c r="N97" s="297">
        <f t="shared" si="21"/>
        <v>0</v>
      </c>
      <c r="O97" s="305"/>
      <c r="P97" s="305"/>
      <c r="Q97" s="297">
        <f t="shared" si="18"/>
        <v>6618.703</v>
      </c>
      <c r="R97" s="306"/>
      <c r="S97" s="306"/>
      <c r="T97" s="306">
        <v>6618.703</v>
      </c>
      <c r="U97" s="299"/>
      <c r="V97" s="299"/>
      <c r="W97" s="307"/>
    </row>
    <row r="98" spans="1:23" s="308" customFormat="1" ht="24.75" customHeight="1">
      <c r="A98" s="321">
        <v>6</v>
      </c>
      <c r="B98" s="58" t="s">
        <v>322</v>
      </c>
      <c r="C98" s="304">
        <f t="shared" si="14"/>
        <v>0</v>
      </c>
      <c r="D98" s="304"/>
      <c r="E98" s="304"/>
      <c r="F98" s="304"/>
      <c r="G98" s="304"/>
      <c r="H98" s="305"/>
      <c r="I98" s="297">
        <f t="shared" si="20"/>
        <v>79820.45655</v>
      </c>
      <c r="J98" s="305">
        <v>67833.76655</v>
      </c>
      <c r="K98" s="305"/>
      <c r="L98" s="305"/>
      <c r="M98" s="305"/>
      <c r="N98" s="297">
        <f t="shared" si="21"/>
        <v>0</v>
      </c>
      <c r="O98" s="305"/>
      <c r="P98" s="305"/>
      <c r="Q98" s="297">
        <f t="shared" si="18"/>
        <v>11986.69</v>
      </c>
      <c r="R98" s="306"/>
      <c r="S98" s="306"/>
      <c r="T98" s="306">
        <v>11986.69</v>
      </c>
      <c r="U98" s="299"/>
      <c r="V98" s="299"/>
      <c r="W98" s="307"/>
    </row>
    <row r="99" spans="1:23" s="308" customFormat="1" ht="24.75" customHeight="1">
      <c r="A99" s="321">
        <v>7</v>
      </c>
      <c r="B99" s="58" t="s">
        <v>323</v>
      </c>
      <c r="C99" s="304">
        <f t="shared" si="14"/>
        <v>0</v>
      </c>
      <c r="D99" s="304"/>
      <c r="E99" s="304"/>
      <c r="F99" s="304"/>
      <c r="G99" s="304"/>
      <c r="H99" s="305"/>
      <c r="I99" s="297">
        <f t="shared" si="20"/>
        <v>135814.42371600002</v>
      </c>
      <c r="J99" s="305">
        <v>127519.340716</v>
      </c>
      <c r="K99" s="305"/>
      <c r="L99" s="305"/>
      <c r="M99" s="305"/>
      <c r="N99" s="297">
        <f t="shared" si="21"/>
        <v>0</v>
      </c>
      <c r="O99" s="305"/>
      <c r="P99" s="305"/>
      <c r="Q99" s="297">
        <f t="shared" si="18"/>
        <v>8295.083</v>
      </c>
      <c r="R99" s="306"/>
      <c r="S99" s="306"/>
      <c r="T99" s="306">
        <v>8295.083</v>
      </c>
      <c r="U99" s="299"/>
      <c r="V99" s="299"/>
      <c r="W99" s="307"/>
    </row>
    <row r="100" spans="1:23" s="308" customFormat="1" ht="24.75" customHeight="1">
      <c r="A100" s="321">
        <v>8</v>
      </c>
      <c r="B100" s="58" t="s">
        <v>102</v>
      </c>
      <c r="C100" s="304">
        <f t="shared" si="14"/>
        <v>0</v>
      </c>
      <c r="D100" s="304"/>
      <c r="E100" s="304"/>
      <c r="F100" s="304"/>
      <c r="G100" s="304"/>
      <c r="H100" s="305"/>
      <c r="I100" s="297">
        <f t="shared" si="20"/>
        <v>202582.69391900004</v>
      </c>
      <c r="J100" s="305">
        <v>187365.66391900004</v>
      </c>
      <c r="K100" s="305"/>
      <c r="L100" s="305"/>
      <c r="M100" s="305"/>
      <c r="N100" s="297">
        <f t="shared" si="21"/>
        <v>0</v>
      </c>
      <c r="O100" s="305"/>
      <c r="P100" s="305"/>
      <c r="Q100" s="297">
        <f t="shared" si="18"/>
        <v>15217.029999999999</v>
      </c>
      <c r="R100" s="306"/>
      <c r="S100" s="306"/>
      <c r="T100" s="306">
        <f>1160.81+14056.22</f>
        <v>15217.029999999999</v>
      </c>
      <c r="U100" s="299"/>
      <c r="V100" s="299"/>
      <c r="W100" s="307"/>
    </row>
    <row r="101" spans="1:23" s="308" customFormat="1" ht="24.75" customHeight="1">
      <c r="A101" s="321">
        <v>9</v>
      </c>
      <c r="B101" s="58" t="s">
        <v>325</v>
      </c>
      <c r="C101" s="304">
        <f t="shared" si="14"/>
        <v>0</v>
      </c>
      <c r="D101" s="304"/>
      <c r="E101" s="304"/>
      <c r="F101" s="304"/>
      <c r="G101" s="304"/>
      <c r="H101" s="305"/>
      <c r="I101" s="297">
        <f t="shared" si="20"/>
        <v>34795.164034</v>
      </c>
      <c r="J101" s="305">
        <v>34795.164034</v>
      </c>
      <c r="K101" s="305"/>
      <c r="L101" s="305"/>
      <c r="M101" s="305"/>
      <c r="N101" s="297">
        <f t="shared" si="21"/>
        <v>0</v>
      </c>
      <c r="O101" s="305"/>
      <c r="P101" s="305"/>
      <c r="Q101" s="297">
        <f t="shared" si="18"/>
        <v>0</v>
      </c>
      <c r="R101" s="306"/>
      <c r="S101" s="306"/>
      <c r="T101" s="306"/>
      <c r="U101" s="299"/>
      <c r="V101" s="299"/>
      <c r="W101" s="307"/>
    </row>
    <row r="102" spans="1:23" s="308" customFormat="1" ht="24.75" customHeight="1">
      <c r="A102" s="321">
        <v>10</v>
      </c>
      <c r="B102" s="58" t="s">
        <v>326</v>
      </c>
      <c r="C102" s="304">
        <f t="shared" si="14"/>
        <v>0</v>
      </c>
      <c r="D102" s="304"/>
      <c r="E102" s="304"/>
      <c r="F102" s="304"/>
      <c r="G102" s="304"/>
      <c r="H102" s="304"/>
      <c r="I102" s="297">
        <f t="shared" si="20"/>
        <v>52295.727360000004</v>
      </c>
      <c r="J102" s="305">
        <v>28323.47036</v>
      </c>
      <c r="K102" s="305"/>
      <c r="L102" s="305"/>
      <c r="M102" s="305"/>
      <c r="N102" s="297">
        <f t="shared" si="21"/>
        <v>0</v>
      </c>
      <c r="O102" s="305"/>
      <c r="P102" s="305"/>
      <c r="Q102" s="297">
        <f t="shared" si="18"/>
        <v>23972.257</v>
      </c>
      <c r="R102" s="306"/>
      <c r="S102" s="306"/>
      <c r="T102" s="306">
        <v>23972.257</v>
      </c>
      <c r="U102" s="299"/>
      <c r="V102" s="299"/>
      <c r="W102" s="307"/>
    </row>
    <row r="103" spans="1:23" s="328" customFormat="1" ht="24.75" customHeight="1">
      <c r="A103" s="322"/>
      <c r="B103" s="323"/>
      <c r="C103" s="324"/>
      <c r="D103" s="325"/>
      <c r="E103" s="325"/>
      <c r="F103" s="325"/>
      <c r="G103" s="325"/>
      <c r="H103" s="325"/>
      <c r="I103" s="326"/>
      <c r="J103" s="326"/>
      <c r="K103" s="326"/>
      <c r="L103" s="326"/>
      <c r="M103" s="326"/>
      <c r="N103" s="326"/>
      <c r="O103" s="326"/>
      <c r="P103" s="326"/>
      <c r="Q103" s="326"/>
      <c r="R103" s="324"/>
      <c r="S103" s="324"/>
      <c r="T103" s="324"/>
      <c r="U103" s="327"/>
      <c r="V103" s="327"/>
      <c r="W103" s="327"/>
    </row>
  </sheetData>
  <sheetProtection/>
  <mergeCells count="28">
    <mergeCell ref="V4:W4"/>
    <mergeCell ref="U5:W5"/>
    <mergeCell ref="A5:A7"/>
    <mergeCell ref="B5:B7"/>
    <mergeCell ref="C6:C7"/>
    <mergeCell ref="E6:E7"/>
    <mergeCell ref="D6:D7"/>
    <mergeCell ref="M6:M7"/>
    <mergeCell ref="F6:F7"/>
    <mergeCell ref="G6:G7"/>
    <mergeCell ref="J6:J7"/>
    <mergeCell ref="C5:H5"/>
    <mergeCell ref="K6:K7"/>
    <mergeCell ref="Q6:Q7"/>
    <mergeCell ref="H6:H7"/>
    <mergeCell ref="N6:P6"/>
    <mergeCell ref="I6:I7"/>
    <mergeCell ref="L6:L7"/>
    <mergeCell ref="R6:R7"/>
    <mergeCell ref="P1:W1"/>
    <mergeCell ref="A3:W3"/>
    <mergeCell ref="S6:S7"/>
    <mergeCell ref="U6:U7"/>
    <mergeCell ref="V6:V7"/>
    <mergeCell ref="W6:W7"/>
    <mergeCell ref="A2:W2"/>
    <mergeCell ref="T6:T7"/>
    <mergeCell ref="I5:Q5"/>
  </mergeCells>
  <printOptions horizontalCentered="1"/>
  <pageMargins left="0" right="0" top="0.5" bottom="0" header="0.3" footer="0.3"/>
  <pageSetup horizontalDpi="300" verticalDpi="300" orientation="landscape" paperSize="9" scale="58" r:id="rId3"/>
  <legacyDrawing r:id="rId2"/>
</worksheet>
</file>

<file path=xl/worksheets/sheet9.xml><?xml version="1.0" encoding="utf-8"?>
<worksheet xmlns="http://schemas.openxmlformats.org/spreadsheetml/2006/main" xmlns:r="http://schemas.openxmlformats.org/officeDocument/2006/relationships">
  <sheetPr>
    <tabColor indexed="33"/>
  </sheetPr>
  <dimension ref="A1:Y33"/>
  <sheetViews>
    <sheetView tabSelected="1" zoomScale="75" zoomScaleNormal="75" zoomScalePageLayoutView="0" workbookViewId="0" topLeftCell="A1">
      <selection activeCell="A4" sqref="A4"/>
    </sheetView>
  </sheetViews>
  <sheetFormatPr defaultColWidth="9.140625" defaultRowHeight="15"/>
  <cols>
    <col min="1" max="1" width="6.28125" style="42" customWidth="1"/>
    <col min="2" max="2" width="24.421875" style="42" customWidth="1"/>
    <col min="3" max="3" width="10.8515625" style="43" customWidth="1"/>
    <col min="4" max="4" width="9.140625" style="43" customWidth="1"/>
    <col min="5" max="5" width="14.00390625" style="43" customWidth="1"/>
    <col min="6" max="6" width="11.28125" style="44" customWidth="1"/>
    <col min="7" max="7" width="9.140625" style="44" customWidth="1"/>
    <col min="8" max="8" width="16.421875" style="45" customWidth="1"/>
    <col min="9" max="9" width="14.421875" style="46" customWidth="1"/>
    <col min="10" max="10" width="14.140625" style="46" customWidth="1"/>
    <col min="11" max="11" width="13.421875" style="47" customWidth="1"/>
    <col min="12" max="12" width="11.421875" style="47" customWidth="1"/>
    <col min="13" max="13" width="14.7109375" style="46" customWidth="1"/>
    <col min="14" max="14" width="12.421875" style="47" customWidth="1"/>
    <col min="15" max="15" width="12.7109375" style="47" customWidth="1"/>
    <col min="16" max="16" width="13.140625" style="46" customWidth="1"/>
    <col min="17" max="17" width="13.8515625" style="47" customWidth="1"/>
    <col min="18" max="18" width="13.28125" style="47" customWidth="1"/>
    <col min="19" max="19" width="13.140625" style="46" customWidth="1"/>
    <col min="20" max="20" width="14.140625" style="46" customWidth="1"/>
    <col min="21" max="21" width="13.140625" style="48" bestFit="1" customWidth="1"/>
    <col min="22" max="22" width="9.28125" style="48" bestFit="1" customWidth="1"/>
    <col min="23" max="23" width="10.7109375" style="48" customWidth="1"/>
    <col min="24" max="24" width="11.28125" style="49" customWidth="1"/>
    <col min="25" max="25" width="11.421875" style="49" customWidth="1"/>
    <col min="26" max="16384" width="9.140625" style="42" customWidth="1"/>
  </cols>
  <sheetData>
    <row r="1" spans="23:25" ht="15.75">
      <c r="W1" s="413" t="s">
        <v>276</v>
      </c>
      <c r="X1" s="413"/>
      <c r="Y1" s="413"/>
    </row>
    <row r="2" spans="1:25" ht="39.75" customHeight="1">
      <c r="A2" s="421" t="s">
        <v>484</v>
      </c>
      <c r="B2" s="421"/>
      <c r="C2" s="421"/>
      <c r="D2" s="421"/>
      <c r="E2" s="421"/>
      <c r="F2" s="421"/>
      <c r="G2" s="421"/>
      <c r="H2" s="421"/>
      <c r="I2" s="421"/>
      <c r="J2" s="421"/>
      <c r="K2" s="421"/>
      <c r="L2" s="421"/>
      <c r="M2" s="421"/>
      <c r="N2" s="421"/>
      <c r="O2" s="421"/>
      <c r="P2" s="421"/>
      <c r="Q2" s="421"/>
      <c r="R2" s="421"/>
      <c r="S2" s="421"/>
      <c r="T2" s="421"/>
      <c r="U2" s="421"/>
      <c r="V2" s="421"/>
      <c r="W2" s="421"/>
      <c r="X2" s="50"/>
      <c r="Y2" s="50"/>
    </row>
    <row r="3" spans="1:25" ht="20.25">
      <c r="A3" s="422" t="str">
        <f>'Biểu 01'!A4:F4</f>
        <v>(Kèm theo Nghị quyết  số 111/NQ-HĐND ngày  10 tháng  7  năm 2019 của Hội đồng nhân dân tỉnh Điện Biên)</v>
      </c>
      <c r="B3" s="422"/>
      <c r="C3" s="422"/>
      <c r="D3" s="422"/>
      <c r="E3" s="422"/>
      <c r="F3" s="422"/>
      <c r="G3" s="422"/>
      <c r="H3" s="422"/>
      <c r="I3" s="422"/>
      <c r="J3" s="422"/>
      <c r="K3" s="422"/>
      <c r="L3" s="422"/>
      <c r="M3" s="422"/>
      <c r="N3" s="422"/>
      <c r="O3" s="422"/>
      <c r="P3" s="422"/>
      <c r="Q3" s="422"/>
      <c r="R3" s="422"/>
      <c r="S3" s="422"/>
      <c r="T3" s="422"/>
      <c r="U3" s="422"/>
      <c r="V3" s="422"/>
      <c r="W3" s="422"/>
      <c r="X3" s="50"/>
      <c r="Y3" s="50"/>
    </row>
    <row r="4" spans="23:25" ht="44.25" customHeight="1">
      <c r="W4" s="412" t="s">
        <v>289</v>
      </c>
      <c r="X4" s="412"/>
      <c r="Y4" s="412"/>
    </row>
    <row r="5" spans="1:25" s="53" customFormat="1" ht="33.75" customHeight="1">
      <c r="A5" s="359" t="s">
        <v>358</v>
      </c>
      <c r="B5" s="359" t="s">
        <v>283</v>
      </c>
      <c r="C5" s="399" t="s">
        <v>58</v>
      </c>
      <c r="D5" s="399"/>
      <c r="E5" s="399"/>
      <c r="F5" s="399"/>
      <c r="G5" s="399"/>
      <c r="H5" s="397" t="s">
        <v>331</v>
      </c>
      <c r="I5" s="397"/>
      <c r="J5" s="397"/>
      <c r="K5" s="397"/>
      <c r="L5" s="397"/>
      <c r="M5" s="397"/>
      <c r="N5" s="397"/>
      <c r="O5" s="397"/>
      <c r="P5" s="397"/>
      <c r="Q5" s="397"/>
      <c r="R5" s="397"/>
      <c r="S5" s="397"/>
      <c r="T5" s="397"/>
      <c r="U5" s="398" t="s">
        <v>138</v>
      </c>
      <c r="V5" s="398"/>
      <c r="W5" s="398"/>
      <c r="X5" s="398"/>
      <c r="Y5" s="398"/>
    </row>
    <row r="6" spans="1:25" s="53" customFormat="1" ht="27.75" customHeight="1">
      <c r="A6" s="359"/>
      <c r="B6" s="359"/>
      <c r="C6" s="399" t="s">
        <v>382</v>
      </c>
      <c r="D6" s="399" t="s">
        <v>136</v>
      </c>
      <c r="E6" s="400" t="s">
        <v>373</v>
      </c>
      <c r="F6" s="408" t="s">
        <v>387</v>
      </c>
      <c r="G6" s="409"/>
      <c r="H6" s="406" t="s">
        <v>382</v>
      </c>
      <c r="I6" s="403" t="s">
        <v>136</v>
      </c>
      <c r="J6" s="397" t="s">
        <v>373</v>
      </c>
      <c r="K6" s="397"/>
      <c r="L6" s="397"/>
      <c r="M6" s="397" t="s">
        <v>340</v>
      </c>
      <c r="N6" s="397"/>
      <c r="O6" s="397"/>
      <c r="P6" s="397" t="s">
        <v>269</v>
      </c>
      <c r="Q6" s="397"/>
      <c r="R6" s="397"/>
      <c r="S6" s="403" t="s">
        <v>153</v>
      </c>
      <c r="T6" s="397" t="s">
        <v>125</v>
      </c>
      <c r="U6" s="398" t="s">
        <v>382</v>
      </c>
      <c r="V6" s="398" t="s">
        <v>136</v>
      </c>
      <c r="W6" s="414" t="s">
        <v>373</v>
      </c>
      <c r="X6" s="417" t="s">
        <v>387</v>
      </c>
      <c r="Y6" s="418"/>
    </row>
    <row r="7" spans="1:25" s="53" customFormat="1" ht="34.5" customHeight="1">
      <c r="A7" s="359"/>
      <c r="B7" s="359"/>
      <c r="C7" s="399"/>
      <c r="D7" s="399"/>
      <c r="E7" s="401"/>
      <c r="F7" s="410"/>
      <c r="G7" s="411"/>
      <c r="H7" s="406"/>
      <c r="I7" s="404"/>
      <c r="J7" s="397" t="s">
        <v>382</v>
      </c>
      <c r="K7" s="407" t="s">
        <v>387</v>
      </c>
      <c r="L7" s="407"/>
      <c r="M7" s="397" t="s">
        <v>382</v>
      </c>
      <c r="N7" s="407" t="s">
        <v>387</v>
      </c>
      <c r="O7" s="407"/>
      <c r="P7" s="397" t="s">
        <v>382</v>
      </c>
      <c r="Q7" s="407" t="s">
        <v>387</v>
      </c>
      <c r="R7" s="407"/>
      <c r="S7" s="404"/>
      <c r="T7" s="397"/>
      <c r="U7" s="398"/>
      <c r="V7" s="398"/>
      <c r="W7" s="415"/>
      <c r="X7" s="419"/>
      <c r="Y7" s="420"/>
    </row>
    <row r="8" spans="1:25" s="53" customFormat="1" ht="78.75">
      <c r="A8" s="359"/>
      <c r="B8" s="359"/>
      <c r="C8" s="399"/>
      <c r="D8" s="399"/>
      <c r="E8" s="402"/>
      <c r="F8" s="55" t="s">
        <v>341</v>
      </c>
      <c r="G8" s="55" t="s">
        <v>275</v>
      </c>
      <c r="H8" s="406"/>
      <c r="I8" s="405"/>
      <c r="J8" s="397"/>
      <c r="K8" s="54" t="s">
        <v>341</v>
      </c>
      <c r="L8" s="54" t="s">
        <v>275</v>
      </c>
      <c r="M8" s="397"/>
      <c r="N8" s="54" t="s">
        <v>2</v>
      </c>
      <c r="O8" s="54" t="s">
        <v>373</v>
      </c>
      <c r="P8" s="397"/>
      <c r="Q8" s="54" t="s">
        <v>1</v>
      </c>
      <c r="R8" s="54" t="s">
        <v>373</v>
      </c>
      <c r="S8" s="405"/>
      <c r="T8" s="397"/>
      <c r="U8" s="398"/>
      <c r="V8" s="398"/>
      <c r="W8" s="416"/>
      <c r="X8" s="56" t="s">
        <v>341</v>
      </c>
      <c r="Y8" s="56" t="s">
        <v>308</v>
      </c>
    </row>
    <row r="9" spans="1:25" s="53" customFormat="1" ht="22.5" customHeight="1">
      <c r="A9" s="22" t="s">
        <v>360</v>
      </c>
      <c r="B9" s="22" t="s">
        <v>361</v>
      </c>
      <c r="C9" s="51">
        <v>1</v>
      </c>
      <c r="D9" s="51">
        <v>2</v>
      </c>
      <c r="E9" s="51">
        <v>3</v>
      </c>
      <c r="F9" s="51">
        <v>4</v>
      </c>
      <c r="G9" s="51">
        <v>5</v>
      </c>
      <c r="H9" s="161">
        <v>6</v>
      </c>
      <c r="I9" s="51">
        <v>7</v>
      </c>
      <c r="J9" s="51">
        <v>8</v>
      </c>
      <c r="K9" s="51">
        <v>9</v>
      </c>
      <c r="L9" s="51">
        <v>10</v>
      </c>
      <c r="M9" s="51" t="s">
        <v>349</v>
      </c>
      <c r="N9" s="51">
        <v>12</v>
      </c>
      <c r="O9" s="51">
        <v>13</v>
      </c>
      <c r="P9" s="51" t="s">
        <v>270</v>
      </c>
      <c r="Q9" s="51">
        <v>15</v>
      </c>
      <c r="R9" s="51">
        <v>16</v>
      </c>
      <c r="S9" s="51">
        <v>17</v>
      </c>
      <c r="T9" s="51">
        <v>18</v>
      </c>
      <c r="U9" s="52" t="s">
        <v>271</v>
      </c>
      <c r="V9" s="52" t="s">
        <v>272</v>
      </c>
      <c r="W9" s="52" t="s">
        <v>273</v>
      </c>
      <c r="X9" s="52" t="s">
        <v>274</v>
      </c>
      <c r="Y9" s="52" t="s">
        <v>0</v>
      </c>
    </row>
    <row r="10" spans="1:25" s="74" customFormat="1" ht="36" customHeight="1">
      <c r="A10" s="57"/>
      <c r="B10" s="57" t="s">
        <v>383</v>
      </c>
      <c r="C10" s="139">
        <f aca="true" t="shared" si="0" ref="C10:H10">SUM(C11:C20)</f>
        <v>4043936</v>
      </c>
      <c r="D10" s="139">
        <f t="shared" si="0"/>
        <v>59501</v>
      </c>
      <c r="E10" s="139">
        <f t="shared" si="0"/>
        <v>3984435</v>
      </c>
      <c r="F10" s="140">
        <f t="shared" si="0"/>
        <v>2324205</v>
      </c>
      <c r="G10" s="140">
        <f t="shared" si="0"/>
        <v>2550</v>
      </c>
      <c r="H10" s="141">
        <f t="shared" si="0"/>
        <v>5727635.3613020005</v>
      </c>
      <c r="I10" s="141">
        <f aca="true" t="shared" si="1" ref="I10:R10">SUM(I11:I20)</f>
        <v>109677.96236800001</v>
      </c>
      <c r="J10" s="141">
        <f t="shared" si="1"/>
        <v>4471193.601247</v>
      </c>
      <c r="K10" s="141">
        <f t="shared" si="1"/>
        <v>2654308.663791</v>
      </c>
      <c r="L10" s="141">
        <f t="shared" si="1"/>
        <v>3792.650341</v>
      </c>
      <c r="M10" s="141">
        <f t="shared" si="1"/>
        <v>474359.189423</v>
      </c>
      <c r="N10" s="141">
        <f t="shared" si="1"/>
        <v>348764.60679900006</v>
      </c>
      <c r="O10" s="141">
        <f t="shared" si="1"/>
        <v>125594.582624</v>
      </c>
      <c r="P10" s="141">
        <f t="shared" si="1"/>
        <v>116993.776989</v>
      </c>
      <c r="Q10" s="141">
        <f t="shared" si="1"/>
        <v>105854.37411799999</v>
      </c>
      <c r="R10" s="141">
        <f t="shared" si="1"/>
        <v>11139.402871</v>
      </c>
      <c r="S10" s="141">
        <f>SUM(S11:S20)</f>
        <v>54246.74281499999</v>
      </c>
      <c r="T10" s="141">
        <f>SUM(T11:T20)</f>
        <v>501164.0884600001</v>
      </c>
      <c r="U10" s="142">
        <f>H10/C10</f>
        <v>1.416351633977887</v>
      </c>
      <c r="V10" s="142">
        <f>I10/D10</f>
        <v>1.8432961188551453</v>
      </c>
      <c r="W10" s="142">
        <f>J10/E10</f>
        <v>1.1221650249651456</v>
      </c>
      <c r="X10" s="143">
        <f>K10/F10</f>
        <v>1.1420286350778008</v>
      </c>
      <c r="Y10" s="143">
        <f>L10/G10</f>
        <v>1.4873138592156863</v>
      </c>
    </row>
    <row r="11" spans="1:25" s="127" customFormat="1" ht="30" customHeight="1">
      <c r="A11" s="126">
        <v>1</v>
      </c>
      <c r="B11" s="126" t="s">
        <v>319</v>
      </c>
      <c r="C11" s="144">
        <f>D11+E11</f>
        <v>738860</v>
      </c>
      <c r="D11" s="144">
        <v>13000</v>
      </c>
      <c r="E11" s="144">
        <f>711083+14777</f>
        <v>725860</v>
      </c>
      <c r="F11" s="145">
        <v>443528</v>
      </c>
      <c r="G11" s="145">
        <v>500</v>
      </c>
      <c r="H11" s="146">
        <f>I11+J11+M11+P11+T11+S11</f>
        <v>961229.6979239999</v>
      </c>
      <c r="I11" s="147">
        <v>38739.757292</v>
      </c>
      <c r="J11" s="147">
        <v>800020.570124</v>
      </c>
      <c r="K11" s="148">
        <v>509410.755298</v>
      </c>
      <c r="L11" s="148">
        <v>459.7057</v>
      </c>
      <c r="M11" s="147">
        <f>N11+O11</f>
        <v>46278.94844</v>
      </c>
      <c r="N11" s="148">
        <v>33161.925257</v>
      </c>
      <c r="O11" s="146">
        <v>13117.023183</v>
      </c>
      <c r="P11" s="147">
        <f>Q11+R11</f>
        <v>86.078</v>
      </c>
      <c r="Q11" s="148"/>
      <c r="R11" s="148">
        <v>86.078</v>
      </c>
      <c r="S11" s="147">
        <v>10866.832017</v>
      </c>
      <c r="T11" s="147">
        <v>65237.512051</v>
      </c>
      <c r="U11" s="149">
        <f aca="true" t="shared" si="2" ref="U11:Y20">H11/C11</f>
        <v>1.300963237858322</v>
      </c>
      <c r="V11" s="149">
        <f t="shared" si="2"/>
        <v>2.9799813301538465</v>
      </c>
      <c r="W11" s="149">
        <f t="shared" si="2"/>
        <v>1.1021692476841263</v>
      </c>
      <c r="X11" s="150">
        <f t="shared" si="2"/>
        <v>1.1485424940432172</v>
      </c>
      <c r="Y11" s="150">
        <f>L11/G11</f>
        <v>0.9194114</v>
      </c>
    </row>
    <row r="12" spans="1:25" s="127" customFormat="1" ht="30" customHeight="1">
      <c r="A12" s="126">
        <v>2</v>
      </c>
      <c r="B12" s="126" t="s">
        <v>317</v>
      </c>
      <c r="C12" s="144">
        <f>D12+E12</f>
        <v>515291</v>
      </c>
      <c r="D12" s="144">
        <v>10400</v>
      </c>
      <c r="E12" s="144">
        <f>494585+10306</f>
        <v>504891</v>
      </c>
      <c r="F12" s="145">
        <v>313559</v>
      </c>
      <c r="G12" s="145">
        <v>500</v>
      </c>
      <c r="H12" s="146">
        <f>I12+J12+M12+P12+S12+T12</f>
        <v>708059.0151280002</v>
      </c>
      <c r="I12" s="147">
        <v>12270.139699</v>
      </c>
      <c r="J12" s="147">
        <v>577430.508767</v>
      </c>
      <c r="K12" s="148">
        <v>357439.493868</v>
      </c>
      <c r="L12" s="148">
        <v>494.129641</v>
      </c>
      <c r="M12" s="147">
        <f>N12+O12</f>
        <v>50481.325039999996</v>
      </c>
      <c r="N12" s="148">
        <v>38688.1372</v>
      </c>
      <c r="O12" s="148">
        <v>11793.18784</v>
      </c>
      <c r="P12" s="147">
        <f>Q12+R12</f>
        <v>7232.199515</v>
      </c>
      <c r="Q12" s="148">
        <v>4850.491515</v>
      </c>
      <c r="R12" s="148">
        <v>2381.708</v>
      </c>
      <c r="S12" s="147">
        <v>10103.286954</v>
      </c>
      <c r="T12" s="147">
        <v>50541.555153</v>
      </c>
      <c r="U12" s="149">
        <f t="shared" si="2"/>
        <v>1.3740954434057653</v>
      </c>
      <c r="V12" s="149">
        <f t="shared" si="2"/>
        <v>1.1798211249038462</v>
      </c>
      <c r="W12" s="149">
        <f t="shared" si="2"/>
        <v>1.143673602355756</v>
      </c>
      <c r="X12" s="150">
        <f t="shared" si="2"/>
        <v>1.1399433403857009</v>
      </c>
      <c r="Y12" s="150">
        <f>L12/G12</f>
        <v>0.988259282</v>
      </c>
    </row>
    <row r="13" spans="1:25" s="127" customFormat="1" ht="30" customHeight="1">
      <c r="A13" s="126">
        <v>3</v>
      </c>
      <c r="B13" s="126" t="s">
        <v>318</v>
      </c>
      <c r="C13" s="144">
        <f aca="true" t="shared" si="3" ref="C13:C20">D13+E13</f>
        <v>306460</v>
      </c>
      <c r="D13" s="144">
        <v>300</v>
      </c>
      <c r="E13" s="144">
        <f>300031+6129</f>
        <v>306160</v>
      </c>
      <c r="F13" s="145">
        <v>173274</v>
      </c>
      <c r="G13" s="145">
        <v>150</v>
      </c>
      <c r="H13" s="146">
        <f aca="true" t="shared" si="4" ref="H13:H20">I13+J13+M13+P13+S13+T13</f>
        <v>446915.74692500004</v>
      </c>
      <c r="I13" s="147">
        <v>782.175902</v>
      </c>
      <c r="J13" s="147">
        <v>337211.502265</v>
      </c>
      <c r="K13" s="148">
        <v>190125.946201</v>
      </c>
      <c r="L13" s="148">
        <v>40</v>
      </c>
      <c r="M13" s="147">
        <f aca="true" t="shared" si="5" ref="M13:M20">N13+O13</f>
        <v>36456.733225</v>
      </c>
      <c r="N13" s="148">
        <v>26659.984525</v>
      </c>
      <c r="O13" s="148">
        <v>9796.7487</v>
      </c>
      <c r="P13" s="147">
        <f aca="true" t="shared" si="6" ref="P13:P20">Q13+R13</f>
        <v>22103.802079999998</v>
      </c>
      <c r="Q13" s="148">
        <v>22064.84208</v>
      </c>
      <c r="R13" s="148">
        <v>38.96</v>
      </c>
      <c r="S13" s="147">
        <v>229.514</v>
      </c>
      <c r="T13" s="147">
        <v>50132.019453</v>
      </c>
      <c r="U13" s="149">
        <f t="shared" si="2"/>
        <v>1.4583167360340665</v>
      </c>
      <c r="V13" s="149">
        <f t="shared" si="2"/>
        <v>2.6072530066666664</v>
      </c>
      <c r="W13" s="149">
        <f t="shared" si="2"/>
        <v>1.1014224662431409</v>
      </c>
      <c r="X13" s="150">
        <f t="shared" si="2"/>
        <v>1.0972560580410218</v>
      </c>
      <c r="Y13" s="150">
        <f>L13/G13</f>
        <v>0.26666666666666666</v>
      </c>
    </row>
    <row r="14" spans="1:25" s="127" customFormat="1" ht="30" customHeight="1">
      <c r="A14" s="126">
        <v>4</v>
      </c>
      <c r="B14" s="126" t="s">
        <v>320</v>
      </c>
      <c r="C14" s="144">
        <f t="shared" si="3"/>
        <v>373563</v>
      </c>
      <c r="D14" s="144"/>
      <c r="E14" s="144">
        <f>366092+7471</f>
        <v>373563</v>
      </c>
      <c r="F14" s="145">
        <v>236046</v>
      </c>
      <c r="G14" s="145">
        <v>150</v>
      </c>
      <c r="H14" s="146">
        <f t="shared" si="4"/>
        <v>535059.80534</v>
      </c>
      <c r="I14" s="147">
        <v>3156.92295</v>
      </c>
      <c r="J14" s="147">
        <v>424864.718349</v>
      </c>
      <c r="K14" s="148">
        <v>269698.02284</v>
      </c>
      <c r="L14" s="148">
        <v>150</v>
      </c>
      <c r="M14" s="147">
        <f t="shared" si="5"/>
        <v>53200.643984</v>
      </c>
      <c r="N14" s="148">
        <v>41266.530863</v>
      </c>
      <c r="O14" s="148">
        <v>11934.113121</v>
      </c>
      <c r="P14" s="147">
        <f t="shared" si="6"/>
        <v>23347.33792</v>
      </c>
      <c r="Q14" s="148">
        <v>20353.84442</v>
      </c>
      <c r="R14" s="148">
        <v>2993.4935</v>
      </c>
      <c r="S14" s="147">
        <v>5580.251351</v>
      </c>
      <c r="T14" s="147">
        <v>24909.930786</v>
      </c>
      <c r="U14" s="149">
        <f t="shared" si="2"/>
        <v>1.43231477780187</v>
      </c>
      <c r="V14" s="149"/>
      <c r="W14" s="149">
        <f t="shared" si="2"/>
        <v>1.1373308340199644</v>
      </c>
      <c r="X14" s="150">
        <f t="shared" si="2"/>
        <v>1.1425655289223287</v>
      </c>
      <c r="Y14" s="150">
        <f>L14/G14</f>
        <v>1</v>
      </c>
    </row>
    <row r="15" spans="1:25" s="127" customFormat="1" ht="30" customHeight="1">
      <c r="A15" s="126">
        <v>5</v>
      </c>
      <c r="B15" s="126" t="s">
        <v>321</v>
      </c>
      <c r="C15" s="144">
        <f t="shared" si="3"/>
        <v>337117</v>
      </c>
      <c r="D15" s="144">
        <v>1650</v>
      </c>
      <c r="E15" s="144">
        <f>328725+6742</f>
        <v>335467</v>
      </c>
      <c r="F15" s="145">
        <v>193960</v>
      </c>
      <c r="G15" s="145">
        <v>150</v>
      </c>
      <c r="H15" s="146">
        <f t="shared" si="4"/>
        <v>506688.675092</v>
      </c>
      <c r="I15" s="147">
        <v>5989.81773</v>
      </c>
      <c r="J15" s="147">
        <v>383384.949918</v>
      </c>
      <c r="K15" s="148">
        <v>222565.617638</v>
      </c>
      <c r="L15" s="148">
        <v>59.415</v>
      </c>
      <c r="M15" s="147">
        <f t="shared" si="5"/>
        <v>57676.779351</v>
      </c>
      <c r="N15" s="148">
        <v>44037.661258</v>
      </c>
      <c r="O15" s="148">
        <v>13639.118093</v>
      </c>
      <c r="P15" s="147">
        <f t="shared" si="6"/>
        <v>32305.539092</v>
      </c>
      <c r="Q15" s="148">
        <v>29768.189741</v>
      </c>
      <c r="R15" s="148">
        <v>2537.349351</v>
      </c>
      <c r="S15" s="147">
        <v>3311.992593</v>
      </c>
      <c r="T15" s="147">
        <v>24019.596408</v>
      </c>
      <c r="U15" s="149">
        <f t="shared" si="2"/>
        <v>1.503005410857358</v>
      </c>
      <c r="V15" s="149">
        <f t="shared" si="2"/>
        <v>3.6301925636363634</v>
      </c>
      <c r="W15" s="149">
        <f t="shared" si="2"/>
        <v>1.1428395338975221</v>
      </c>
      <c r="X15" s="150">
        <f t="shared" si="2"/>
        <v>1.1474820459785522</v>
      </c>
      <c r="Y15" s="150">
        <f t="shared" si="2"/>
        <v>0.3961</v>
      </c>
    </row>
    <row r="16" spans="1:25" s="127" customFormat="1" ht="30" customHeight="1">
      <c r="A16" s="126">
        <v>6</v>
      </c>
      <c r="B16" s="126" t="s">
        <v>322</v>
      </c>
      <c r="C16" s="144">
        <f t="shared" si="3"/>
        <v>378764</v>
      </c>
      <c r="D16" s="144">
        <v>2500</v>
      </c>
      <c r="E16" s="144">
        <f>368689+7575</f>
        <v>376264</v>
      </c>
      <c r="F16" s="145">
        <v>218395</v>
      </c>
      <c r="G16" s="145">
        <v>150</v>
      </c>
      <c r="H16" s="146">
        <f t="shared" si="4"/>
        <v>628611.2410060001</v>
      </c>
      <c r="I16" s="147">
        <v>14544.620772</v>
      </c>
      <c r="J16" s="147">
        <v>462535.018288</v>
      </c>
      <c r="K16" s="148">
        <v>266031.94436</v>
      </c>
      <c r="L16" s="148">
        <v>150</v>
      </c>
      <c r="M16" s="147">
        <f t="shared" si="5"/>
        <v>49910.06262</v>
      </c>
      <c r="N16" s="148">
        <v>30125.1303</v>
      </c>
      <c r="O16" s="148">
        <v>19784.93232</v>
      </c>
      <c r="P16" s="147">
        <f t="shared" si="6"/>
        <v>2508.3952</v>
      </c>
      <c r="Q16" s="148">
        <v>1128.105</v>
      </c>
      <c r="R16" s="148">
        <v>1380.2902</v>
      </c>
      <c r="S16" s="147">
        <v>17782.71576</v>
      </c>
      <c r="T16" s="147">
        <v>81330.428366</v>
      </c>
      <c r="U16" s="149">
        <f t="shared" si="2"/>
        <v>1.6596382998542631</v>
      </c>
      <c r="V16" s="149">
        <f t="shared" si="2"/>
        <v>5.8178483088</v>
      </c>
      <c r="W16" s="149">
        <f t="shared" si="2"/>
        <v>1.2292832114898051</v>
      </c>
      <c r="X16" s="150">
        <f t="shared" si="2"/>
        <v>1.2181228707616933</v>
      </c>
      <c r="Y16" s="150">
        <f t="shared" si="2"/>
        <v>1</v>
      </c>
    </row>
    <row r="17" spans="1:25" s="127" customFormat="1" ht="30" customHeight="1">
      <c r="A17" s="126">
        <v>7</v>
      </c>
      <c r="B17" s="126" t="s">
        <v>323</v>
      </c>
      <c r="C17" s="144">
        <f t="shared" si="3"/>
        <v>448370</v>
      </c>
      <c r="D17" s="144"/>
      <c r="E17" s="144">
        <f>439403+8967</f>
        <v>448370</v>
      </c>
      <c r="F17" s="145">
        <v>279830</v>
      </c>
      <c r="G17" s="145">
        <v>150</v>
      </c>
      <c r="H17" s="146">
        <f t="shared" si="4"/>
        <v>695781.183907</v>
      </c>
      <c r="I17" s="147">
        <v>1115.520198</v>
      </c>
      <c r="J17" s="147">
        <v>506864.782962</v>
      </c>
      <c r="K17" s="148">
        <v>319333.300955</v>
      </c>
      <c r="L17" s="148">
        <v>144</v>
      </c>
      <c r="M17" s="147">
        <f t="shared" si="5"/>
        <v>109504.821025</v>
      </c>
      <c r="N17" s="148">
        <v>91690.481992</v>
      </c>
      <c r="O17" s="148">
        <v>17814.339033</v>
      </c>
      <c r="P17" s="147">
        <f t="shared" si="6"/>
        <v>25218.172162000003</v>
      </c>
      <c r="Q17" s="148">
        <v>24504.679862</v>
      </c>
      <c r="R17" s="148">
        <v>713.4923</v>
      </c>
      <c r="S17" s="147">
        <v>3931.999451</v>
      </c>
      <c r="T17" s="147">
        <v>49145.888109</v>
      </c>
      <c r="U17" s="149">
        <f t="shared" si="2"/>
        <v>1.5518013781185183</v>
      </c>
      <c r="V17" s="149"/>
      <c r="W17" s="149">
        <f t="shared" si="2"/>
        <v>1.1304609651894642</v>
      </c>
      <c r="X17" s="150">
        <f t="shared" si="2"/>
        <v>1.1411689274023513</v>
      </c>
      <c r="Y17" s="150">
        <f t="shared" si="2"/>
        <v>0.96</v>
      </c>
    </row>
    <row r="18" spans="1:25" s="127" customFormat="1" ht="30" customHeight="1">
      <c r="A18" s="126">
        <v>8</v>
      </c>
      <c r="B18" s="126" t="s">
        <v>324</v>
      </c>
      <c r="C18" s="144">
        <f t="shared" si="3"/>
        <v>428713</v>
      </c>
      <c r="D18" s="144">
        <v>30784</v>
      </c>
      <c r="E18" s="144">
        <f>389355+8574</f>
        <v>397929</v>
      </c>
      <c r="F18" s="145">
        <v>166755</v>
      </c>
      <c r="G18" s="145">
        <v>500</v>
      </c>
      <c r="H18" s="146">
        <f t="shared" si="4"/>
        <v>540503.8388649999</v>
      </c>
      <c r="I18" s="147">
        <v>30898.529825</v>
      </c>
      <c r="J18" s="147">
        <v>402456.476149</v>
      </c>
      <c r="K18" s="148">
        <v>175803.03627</v>
      </c>
      <c r="L18" s="148">
        <v>2000</v>
      </c>
      <c r="M18" s="147">
        <f t="shared" si="5"/>
        <v>1422.6114</v>
      </c>
      <c r="N18" s="148">
        <v>81.313</v>
      </c>
      <c r="O18" s="148">
        <v>1341.2984</v>
      </c>
      <c r="P18" s="147">
        <f t="shared" si="6"/>
        <v>226</v>
      </c>
      <c r="Q18" s="148">
        <v>179</v>
      </c>
      <c r="R18" s="148">
        <v>47</v>
      </c>
      <c r="S18" s="160">
        <v>2038.734689</v>
      </c>
      <c r="T18" s="147">
        <v>103461.486802</v>
      </c>
      <c r="U18" s="149">
        <f t="shared" si="2"/>
        <v>1.2607591532447113</v>
      </c>
      <c r="V18" s="149">
        <f t="shared" si="2"/>
        <v>1.0037204335044179</v>
      </c>
      <c r="W18" s="149">
        <f t="shared" si="2"/>
        <v>1.0113775978855524</v>
      </c>
      <c r="X18" s="150">
        <f t="shared" si="2"/>
        <v>1.054259460106144</v>
      </c>
      <c r="Y18" s="150">
        <f t="shared" si="2"/>
        <v>4</v>
      </c>
    </row>
    <row r="19" spans="1:25" s="127" customFormat="1" ht="30" customHeight="1">
      <c r="A19" s="126">
        <v>9</v>
      </c>
      <c r="B19" s="126" t="s">
        <v>325</v>
      </c>
      <c r="C19" s="144">
        <f t="shared" si="3"/>
        <v>114908</v>
      </c>
      <c r="D19" s="144">
        <v>667</v>
      </c>
      <c r="E19" s="144">
        <f>111943+2298</f>
        <v>114241</v>
      </c>
      <c r="F19" s="145">
        <v>51197</v>
      </c>
      <c r="G19" s="145">
        <v>150</v>
      </c>
      <c r="H19" s="146">
        <f t="shared" si="4"/>
        <v>132220.10476000002</v>
      </c>
      <c r="I19" s="147">
        <v>717</v>
      </c>
      <c r="J19" s="147">
        <v>122450.913733</v>
      </c>
      <c r="K19" s="148">
        <v>56994.30852</v>
      </c>
      <c r="L19" s="148">
        <v>150</v>
      </c>
      <c r="M19" s="147">
        <f t="shared" si="5"/>
        <v>637.280643</v>
      </c>
      <c r="N19" s="148">
        <v>244.962</v>
      </c>
      <c r="O19" s="148">
        <v>392.318643</v>
      </c>
      <c r="P19" s="147">
        <f t="shared" si="6"/>
        <v>524.62652</v>
      </c>
      <c r="Q19" s="148"/>
      <c r="R19" s="148">
        <v>524.62652</v>
      </c>
      <c r="S19" s="147">
        <v>371.416</v>
      </c>
      <c r="T19" s="147">
        <v>7518.867864</v>
      </c>
      <c r="U19" s="149">
        <f t="shared" si="2"/>
        <v>1.1506605698471823</v>
      </c>
      <c r="V19" s="149">
        <f t="shared" si="2"/>
        <v>1.0749625187406298</v>
      </c>
      <c r="W19" s="149">
        <f t="shared" si="2"/>
        <v>1.0718648622911213</v>
      </c>
      <c r="X19" s="150">
        <f t="shared" si="2"/>
        <v>1.1132353169131004</v>
      </c>
      <c r="Y19" s="150">
        <f t="shared" si="2"/>
        <v>1</v>
      </c>
    </row>
    <row r="20" spans="1:25" s="127" customFormat="1" ht="30" customHeight="1">
      <c r="A20" s="126">
        <v>10</v>
      </c>
      <c r="B20" s="126" t="s">
        <v>326</v>
      </c>
      <c r="C20" s="144">
        <f t="shared" si="3"/>
        <v>401890</v>
      </c>
      <c r="D20" s="144">
        <v>200</v>
      </c>
      <c r="E20" s="144">
        <f>393652+8038</f>
        <v>401690</v>
      </c>
      <c r="F20" s="145">
        <v>247661</v>
      </c>
      <c r="G20" s="145">
        <v>150</v>
      </c>
      <c r="H20" s="146">
        <f t="shared" si="4"/>
        <v>572566.052355</v>
      </c>
      <c r="I20" s="147">
        <v>1463.478</v>
      </c>
      <c r="J20" s="147">
        <v>453974.160692</v>
      </c>
      <c r="K20" s="148">
        <v>286906.237841</v>
      </c>
      <c r="L20" s="148">
        <v>145.4</v>
      </c>
      <c r="M20" s="147">
        <f t="shared" si="5"/>
        <v>68789.983695</v>
      </c>
      <c r="N20" s="148">
        <v>42808.480404</v>
      </c>
      <c r="O20" s="148">
        <v>25981.503291</v>
      </c>
      <c r="P20" s="147">
        <f t="shared" si="6"/>
        <v>3441.6265000000003</v>
      </c>
      <c r="Q20" s="148">
        <v>3005.2215</v>
      </c>
      <c r="R20" s="148">
        <v>436.405</v>
      </c>
      <c r="S20" s="147">
        <v>30</v>
      </c>
      <c r="T20" s="147">
        <v>44866.803468</v>
      </c>
      <c r="U20" s="149">
        <f t="shared" si="2"/>
        <v>1.4246835013436514</v>
      </c>
      <c r="V20" s="149">
        <f t="shared" si="2"/>
        <v>7.3173900000000005</v>
      </c>
      <c r="W20" s="149">
        <f t="shared" si="2"/>
        <v>1.1301604737284972</v>
      </c>
      <c r="X20" s="150">
        <f t="shared" si="2"/>
        <v>1.1584635362087694</v>
      </c>
      <c r="Y20" s="150">
        <f t="shared" si="2"/>
        <v>0.9693333333333334</v>
      </c>
    </row>
    <row r="21" spans="1:25" ht="15.75">
      <c r="A21" s="34"/>
      <c r="B21" s="59"/>
      <c r="C21" s="60"/>
      <c r="D21" s="60"/>
      <c r="E21" s="60"/>
      <c r="F21" s="61"/>
      <c r="G21" s="61"/>
      <c r="H21" s="62"/>
      <c r="I21" s="63"/>
      <c r="J21" s="63"/>
      <c r="K21" s="64"/>
      <c r="L21" s="64"/>
      <c r="M21" s="63"/>
      <c r="N21" s="64"/>
      <c r="O21" s="64"/>
      <c r="P21" s="63"/>
      <c r="Q21" s="64"/>
      <c r="R21" s="64"/>
      <c r="S21" s="63"/>
      <c r="T21" s="63"/>
      <c r="U21" s="65"/>
      <c r="V21" s="65"/>
      <c r="W21" s="65"/>
      <c r="X21" s="66"/>
      <c r="Y21" s="66"/>
    </row>
    <row r="22" spans="1:20" ht="15.75" hidden="1">
      <c r="A22" s="67"/>
      <c r="H22" s="45">
        <v>5623135.743851</v>
      </c>
      <c r="I22" s="46">
        <v>109677.962368</v>
      </c>
      <c r="J22" s="46">
        <v>4380247.195475</v>
      </c>
      <c r="K22" s="47">
        <v>2584059.029823</v>
      </c>
      <c r="L22" s="47">
        <v>3792.650341</v>
      </c>
      <c r="N22" s="47">
        <v>348764.606799</v>
      </c>
      <c r="O22" s="47">
        <v>125594.582624</v>
      </c>
      <c r="Q22" s="47">
        <v>105854.374118</v>
      </c>
      <c r="R22" s="47">
        <v>11139.402871</v>
      </c>
      <c r="S22" s="46">
        <v>52875.735815</v>
      </c>
      <c r="T22" s="46">
        <v>488981.883781</v>
      </c>
    </row>
    <row r="23" spans="1:25" s="69" customFormat="1" ht="15.75" hidden="1">
      <c r="A23" s="68"/>
      <c r="C23" s="70"/>
      <c r="D23" s="70"/>
      <c r="E23" s="70"/>
      <c r="F23" s="44"/>
      <c r="G23" s="44"/>
      <c r="H23" s="45">
        <f>H10-H22</f>
        <v>104499.61745100003</v>
      </c>
      <c r="I23" s="71">
        <f>I10-I22</f>
        <v>0</v>
      </c>
      <c r="J23" s="71">
        <f>J10-J22</f>
        <v>90946.40577199962</v>
      </c>
      <c r="K23" s="47">
        <f>K10-K22</f>
        <v>70249.63396799983</v>
      </c>
      <c r="L23" s="47">
        <f>SUM(L10-L22)</f>
        <v>0</v>
      </c>
      <c r="M23" s="47">
        <f aca="true" t="shared" si="7" ref="M23:T23">SUM(M10-M22)</f>
        <v>474359.189423</v>
      </c>
      <c r="N23" s="47">
        <f t="shared" si="7"/>
        <v>5.820766091346741E-11</v>
      </c>
      <c r="O23" s="47">
        <f t="shared" si="7"/>
        <v>0</v>
      </c>
      <c r="P23" s="47">
        <f t="shared" si="7"/>
        <v>116993.776989</v>
      </c>
      <c r="Q23" s="47">
        <f t="shared" si="7"/>
        <v>-1.4551915228366852E-11</v>
      </c>
      <c r="R23" s="47">
        <f t="shared" si="7"/>
        <v>0</v>
      </c>
      <c r="S23" s="47">
        <f t="shared" si="7"/>
        <v>1371.0069999999905</v>
      </c>
      <c r="T23" s="47">
        <f t="shared" si="7"/>
        <v>12182.204679000133</v>
      </c>
      <c r="U23" s="72"/>
      <c r="V23" s="72"/>
      <c r="W23" s="72"/>
      <c r="X23" s="49"/>
      <c r="Y23" s="49"/>
    </row>
    <row r="24" ht="15.75" hidden="1">
      <c r="A24" s="68"/>
    </row>
    <row r="25" ht="15.75" hidden="1">
      <c r="A25" s="68"/>
    </row>
    <row r="26" ht="15" hidden="1">
      <c r="A26" s="73"/>
    </row>
    <row r="27" ht="15">
      <c r="A27" s="73"/>
    </row>
    <row r="28" ht="15">
      <c r="A28" s="73"/>
    </row>
    <row r="29" ht="15">
      <c r="A29" s="73"/>
    </row>
    <row r="30" ht="15">
      <c r="A30" s="73"/>
    </row>
    <row r="31" ht="15">
      <c r="A31" s="73"/>
    </row>
    <row r="32" ht="15">
      <c r="A32" s="73"/>
    </row>
    <row r="33" ht="15">
      <c r="A33" s="73"/>
    </row>
  </sheetData>
  <sheetProtection/>
  <mergeCells count="30">
    <mergeCell ref="W4:Y4"/>
    <mergeCell ref="W1:Y1"/>
    <mergeCell ref="V6:V8"/>
    <mergeCell ref="W6:W8"/>
    <mergeCell ref="X6:Y7"/>
    <mergeCell ref="A2:W2"/>
    <mergeCell ref="A3:W3"/>
    <mergeCell ref="A5:A8"/>
    <mergeCell ref="B5:B8"/>
    <mergeCell ref="C5:G5"/>
    <mergeCell ref="P7:P8"/>
    <mergeCell ref="Q7:R7"/>
    <mergeCell ref="P6:R6"/>
    <mergeCell ref="N7:O7"/>
    <mergeCell ref="F6:G7"/>
    <mergeCell ref="J7:J8"/>
    <mergeCell ref="K7:L7"/>
    <mergeCell ref="M7:M8"/>
    <mergeCell ref="J6:L6"/>
    <mergeCell ref="M6:O6"/>
    <mergeCell ref="H5:T5"/>
    <mergeCell ref="U5:Y5"/>
    <mergeCell ref="C6:C8"/>
    <mergeCell ref="D6:D8"/>
    <mergeCell ref="E6:E8"/>
    <mergeCell ref="S6:S8"/>
    <mergeCell ref="T6:T8"/>
    <mergeCell ref="U6:U8"/>
    <mergeCell ref="H6:H8"/>
    <mergeCell ref="I6:I8"/>
  </mergeCells>
  <printOptions horizontalCentered="1"/>
  <pageMargins left="0" right="0" top="0" bottom="0" header="0.3" footer="0.3"/>
  <pageSetup horizontalDpi="300" verticalDpi="3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 XP</cp:lastModifiedBy>
  <cp:lastPrinted>2019-06-12T04:25:13Z</cp:lastPrinted>
  <dcterms:created xsi:type="dcterms:W3CDTF">2017-04-26T02:19:00Z</dcterms:created>
  <dcterms:modified xsi:type="dcterms:W3CDTF">2019-07-19T00:21:48Z</dcterms:modified>
  <cp:category/>
  <cp:version/>
  <cp:contentType/>
  <cp:contentStatus/>
</cp:coreProperties>
</file>